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Strom und Wärme\interaktive Tabellen\"/>
    </mc:Choice>
  </mc:AlternateContent>
  <xr:revisionPtr revIDLastSave="0" documentId="8_{596F1F85-9AF7-4F48-8EC0-D72C059A3A79}" xr6:coauthVersionLast="47" xr6:coauthVersionMax="47" xr10:uidLastSave="{00000000-0000-0000-0000-000000000000}"/>
  <workbookProtection workbookAlgorithmName="SHA-512" workbookHashValue="3vKJl5X1P5mX2y+P5wvhvpMbmIUiz/cHDIp4ZXlFkOnkd24MvQTRI9wLA/f0B7ubApsGyIo1nLwnBvXRGOuPnA==" workbookSaltValue="sXP+hnMd+SN/4km+uFsHjQ==" workbookSpinCount="100000" lockStructure="1"/>
  <bookViews>
    <workbookView xWindow="-120" yWindow="-120" windowWidth="19440" windowHeight="15000" xr2:uid="{00000000-000D-0000-FFFF-FFFF00000000}"/>
  </bookViews>
  <sheets>
    <sheet name="Haustechnikvarianten gesamt" sheetId="1" r:id="rId1"/>
    <sheet name="Haustechnikvarianten berechnen" sheetId="4" r:id="rId2"/>
    <sheet name="Berechnung" sheetId="5" state="hidden" r:id="rId3"/>
    <sheet name="Tabelle2" sheetId="2" r:id="rId4"/>
    <sheet name="Tabelle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4" l="1"/>
  <c r="D8" i="4"/>
  <c r="D22" i="4"/>
  <c r="D21" i="4"/>
  <c r="D20" i="4"/>
  <c r="D19" i="4"/>
  <c r="D18" i="4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B65" i="1"/>
  <c r="C79" i="4"/>
  <c r="D79" i="4"/>
  <c r="E79" i="4"/>
  <c r="F79" i="4"/>
  <c r="B79" i="4"/>
  <c r="P32" i="1"/>
  <c r="K32" i="1"/>
  <c r="J32" i="1"/>
  <c r="D32" i="1"/>
  <c r="E32" i="1"/>
  <c r="E42" i="1" s="1"/>
  <c r="G141" i="5"/>
  <c r="C141" i="5"/>
  <c r="B50" i="4"/>
  <c r="C50" i="4"/>
  <c r="C54" i="4"/>
  <c r="B57" i="4"/>
  <c r="C57" i="4"/>
  <c r="B58" i="4"/>
  <c r="C58" i="4"/>
  <c r="C59" i="4"/>
  <c r="B60" i="4"/>
  <c r="C139" i="5" s="1"/>
  <c r="G139" i="5" s="1"/>
  <c r="C60" i="4"/>
  <c r="B61" i="4"/>
  <c r="C140" i="5" s="1"/>
  <c r="C61" i="4"/>
  <c r="C68" i="4" s="1"/>
  <c r="O52" i="1"/>
  <c r="I52" i="1"/>
  <c r="C54" i="1"/>
  <c r="C51" i="1"/>
  <c r="C71" i="4"/>
  <c r="C66" i="4"/>
  <c r="C65" i="4"/>
  <c r="C64" i="4"/>
  <c r="R54" i="1"/>
  <c r="Q54" i="1"/>
  <c r="Q61" i="1" s="1"/>
  <c r="P54" i="1"/>
  <c r="P61" i="1" s="1"/>
  <c r="O61" i="1"/>
  <c r="O56" i="1"/>
  <c r="O55" i="1"/>
  <c r="P42" i="1"/>
  <c r="Q42" i="1"/>
  <c r="R42" i="1"/>
  <c r="O42" i="1"/>
  <c r="I61" i="1"/>
  <c r="I56" i="1"/>
  <c r="M54" i="1"/>
  <c r="L54" i="1"/>
  <c r="K54" i="1"/>
  <c r="J54" i="1"/>
  <c r="B61" i="1"/>
  <c r="I55" i="1"/>
  <c r="C46" i="1"/>
  <c r="D46" i="1"/>
  <c r="D42" i="1"/>
  <c r="D47" i="1" s="1"/>
  <c r="D48" i="1" s="1"/>
  <c r="F42" i="1"/>
  <c r="G42" i="1"/>
  <c r="C42" i="1"/>
  <c r="M42" i="1"/>
  <c r="M43" i="1" s="1"/>
  <c r="K42" i="1"/>
  <c r="E50" i="4"/>
  <c r="E53" i="4" s="1"/>
  <c r="E54" i="4" s="1"/>
  <c r="D66" i="4"/>
  <c r="D65" i="4"/>
  <c r="D64" i="4"/>
  <c r="E55" i="5"/>
  <c r="G72" i="5"/>
  <c r="F72" i="5"/>
  <c r="G70" i="5"/>
  <c r="D72" i="5"/>
  <c r="D70" i="5"/>
  <c r="C72" i="5"/>
  <c r="C55" i="5"/>
  <c r="J61" i="1" l="1"/>
  <c r="J56" i="1"/>
  <c r="J55" i="1"/>
  <c r="K61" i="1"/>
  <c r="K56" i="1"/>
  <c r="K58" i="1" s="1"/>
  <c r="K55" i="1"/>
  <c r="L61" i="1"/>
  <c r="L56" i="1"/>
  <c r="L55" i="1"/>
  <c r="M61" i="1"/>
  <c r="M56" i="1"/>
  <c r="M58" i="1" s="1"/>
  <c r="M55" i="1"/>
  <c r="G140" i="5"/>
  <c r="G142" i="5" s="1"/>
  <c r="G143" i="5" s="1"/>
  <c r="C142" i="5"/>
  <c r="C34" i="4" s="1"/>
  <c r="C143" i="5"/>
  <c r="R61" i="1"/>
  <c r="R56" i="1"/>
  <c r="R55" i="1"/>
  <c r="Q56" i="1"/>
  <c r="Q55" i="1"/>
  <c r="P56" i="1"/>
  <c r="P55" i="1"/>
  <c r="M46" i="1"/>
  <c r="M47" i="1" s="1"/>
  <c r="M48" i="1" s="1"/>
  <c r="K46" i="1"/>
  <c r="K47" i="1" s="1"/>
  <c r="K48" i="1" s="1"/>
  <c r="G46" i="1"/>
  <c r="G47" i="1" s="1"/>
  <c r="G48" i="1" s="1"/>
  <c r="F46" i="1"/>
  <c r="F47" i="1" s="1"/>
  <c r="F48" i="1" s="1"/>
  <c r="E46" i="1"/>
  <c r="E47" i="1" s="1"/>
  <c r="E48" i="1" s="1"/>
  <c r="M64" i="1"/>
  <c r="M62" i="1"/>
  <c r="K64" i="1"/>
  <c r="K62" i="1"/>
  <c r="C64" i="5"/>
  <c r="D55" i="5"/>
  <c r="D64" i="5" s="1"/>
  <c r="E64" i="5"/>
  <c r="F55" i="5"/>
  <c r="D34" i="4" l="1"/>
  <c r="E34" i="4" s="1"/>
  <c r="F34" i="4" s="1"/>
  <c r="D35" i="4"/>
  <c r="D40" i="4" s="1"/>
  <c r="F64" i="5"/>
  <c r="G55" i="5"/>
  <c r="G64" i="5" s="1"/>
  <c r="C118" i="5" l="1"/>
  <c r="C97" i="5"/>
  <c r="F118" i="5"/>
  <c r="H118" i="5" s="1"/>
  <c r="E56" i="5" l="1"/>
  <c r="C56" i="5"/>
  <c r="F97" i="5"/>
  <c r="H97" i="5"/>
  <c r="F125" i="5"/>
  <c r="F126" i="5"/>
  <c r="F127" i="5"/>
  <c r="F128" i="5"/>
  <c r="F129" i="5"/>
  <c r="F130" i="5"/>
  <c r="F131" i="5"/>
  <c r="F132" i="5"/>
  <c r="F133" i="5"/>
  <c r="F134" i="5"/>
  <c r="F135" i="5"/>
  <c r="F124" i="5"/>
  <c r="F136" i="5"/>
  <c r="I136" i="5"/>
  <c r="F104" i="5"/>
  <c r="F105" i="5"/>
  <c r="F106" i="5"/>
  <c r="F107" i="5"/>
  <c r="F108" i="5"/>
  <c r="F109" i="5"/>
  <c r="F110" i="5"/>
  <c r="F111" i="5"/>
  <c r="F112" i="5"/>
  <c r="F113" i="5"/>
  <c r="F114" i="5"/>
  <c r="F103" i="5"/>
  <c r="C65" i="5" l="1"/>
  <c r="D56" i="5"/>
  <c r="D65" i="5" s="1"/>
  <c r="E65" i="5"/>
  <c r="F56" i="5"/>
  <c r="F115" i="5"/>
  <c r="F65" i="5" l="1"/>
  <c r="G56" i="5"/>
  <c r="G65" i="5" s="1"/>
  <c r="E75" i="5"/>
  <c r="E66" i="5"/>
  <c r="D75" i="5"/>
  <c r="D66" i="5"/>
  <c r="C66" i="5"/>
  <c r="C75" i="5"/>
  <c r="C78" i="5" l="1"/>
  <c r="C74" i="5"/>
  <c r="D74" i="5"/>
  <c r="D76" i="5" s="1"/>
  <c r="D78" i="5"/>
  <c r="E78" i="5"/>
  <c r="G75" i="5"/>
  <c r="G66" i="5"/>
  <c r="F75" i="5"/>
  <c r="F66" i="5"/>
  <c r="F50" i="4"/>
  <c r="F53" i="4" s="1"/>
  <c r="F54" i="4" s="1"/>
  <c r="D50" i="4"/>
  <c r="D53" i="4" s="1"/>
  <c r="D54" i="4" s="1"/>
  <c r="F74" i="5" l="1"/>
  <c r="F78" i="5"/>
  <c r="G74" i="5"/>
  <c r="G76" i="5" s="1"/>
  <c r="G78" i="5"/>
  <c r="E57" i="4"/>
  <c r="E58" i="4" s="1"/>
  <c r="F57" i="4"/>
  <c r="F58" i="4" s="1"/>
  <c r="D57" i="4" l="1"/>
  <c r="D58" i="4" s="1"/>
  <c r="N42" i="1"/>
  <c r="N47" i="1"/>
  <c r="N58" i="1"/>
  <c r="P47" i="1"/>
  <c r="O47" i="1"/>
  <c r="J58" i="1"/>
  <c r="L58" i="1"/>
  <c r="I58" i="1"/>
  <c r="I44" i="1"/>
  <c r="I46" i="1" s="1"/>
  <c r="L42" i="1"/>
  <c r="J42" i="1"/>
  <c r="I42" i="1"/>
  <c r="I47" i="1" s="1"/>
  <c r="I48" i="1" s="1"/>
  <c r="H58" i="1"/>
  <c r="B56" i="1"/>
  <c r="B58" i="1" s="1"/>
  <c r="C53" i="1"/>
  <c r="C50" i="1"/>
  <c r="D50" i="1" s="1"/>
  <c r="C49" i="1"/>
  <c r="D49" i="1" s="1"/>
  <c r="D54" i="1" s="1"/>
  <c r="C47" i="1"/>
  <c r="C48" i="1" s="1"/>
  <c r="C30" i="5"/>
  <c r="C29" i="5"/>
  <c r="E46" i="5"/>
  <c r="E19" i="5"/>
  <c r="E15" i="5"/>
  <c r="E14" i="5"/>
  <c r="C15" i="5"/>
  <c r="E47" i="5"/>
  <c r="C19" i="5"/>
  <c r="C14" i="5"/>
  <c r="E52" i="5"/>
  <c r="E48" i="5"/>
  <c r="E49" i="5" s="1"/>
  <c r="E50" i="5" s="1"/>
  <c r="E51" i="5" s="1"/>
  <c r="E4" i="5"/>
  <c r="E3" i="5"/>
  <c r="B6" i="5"/>
  <c r="B3" i="5"/>
  <c r="C55" i="1" l="1"/>
  <c r="C61" i="1"/>
  <c r="C56" i="1"/>
  <c r="P48" i="1"/>
  <c r="O48" i="1"/>
  <c r="F49" i="1"/>
  <c r="E49" i="1"/>
  <c r="F50" i="1"/>
  <c r="E50" i="1"/>
  <c r="G50" i="1" s="1"/>
  <c r="M60" i="1"/>
  <c r="M59" i="1"/>
  <c r="K60" i="1"/>
  <c r="K59" i="1"/>
  <c r="I60" i="1"/>
  <c r="I59" i="1"/>
  <c r="I64" i="1"/>
  <c r="I62" i="1"/>
  <c r="L62" i="1"/>
  <c r="L64" i="1"/>
  <c r="J62" i="1"/>
  <c r="J64" i="1"/>
  <c r="O64" i="1"/>
  <c r="O62" i="1"/>
  <c r="R64" i="1"/>
  <c r="R62" i="1"/>
  <c r="Q64" i="1"/>
  <c r="Q62" i="1"/>
  <c r="P64" i="1"/>
  <c r="P62" i="1"/>
  <c r="O58" i="1"/>
  <c r="R58" i="1"/>
  <c r="Q58" i="1"/>
  <c r="P58" i="1"/>
  <c r="C58" i="1"/>
  <c r="D53" i="1"/>
  <c r="C20" i="5"/>
  <c r="E20" i="5"/>
  <c r="E6" i="5"/>
  <c r="C17" i="5"/>
  <c r="E7" i="5"/>
  <c r="E53" i="1" l="1"/>
  <c r="D61" i="1"/>
  <c r="D56" i="1"/>
  <c r="D55" i="1"/>
  <c r="G49" i="1"/>
  <c r="G54" i="1" s="1"/>
  <c r="E54" i="1"/>
  <c r="F54" i="1"/>
  <c r="L46" i="1"/>
  <c r="L47" i="1" s="1"/>
  <c r="L48" i="1" s="1"/>
  <c r="J46" i="1"/>
  <c r="J47" i="1" s="1"/>
  <c r="J48" i="1" s="1"/>
  <c r="D58" i="1"/>
  <c r="C59" i="1"/>
  <c r="C60" i="1"/>
  <c r="F53" i="1"/>
  <c r="C21" i="5"/>
  <c r="E17" i="5"/>
  <c r="E21" i="5"/>
  <c r="F61" i="1" l="1"/>
  <c r="F56" i="1"/>
  <c r="F55" i="1"/>
  <c r="G53" i="1"/>
  <c r="E61" i="1"/>
  <c r="E55" i="1"/>
  <c r="E56" i="1"/>
  <c r="E58" i="1" s="1"/>
  <c r="L60" i="1"/>
  <c r="L59" i="1"/>
  <c r="J60" i="1"/>
  <c r="J59" i="1"/>
  <c r="E59" i="1"/>
  <c r="E60" i="1"/>
  <c r="F58" i="1"/>
  <c r="D59" i="1"/>
  <c r="D60" i="1"/>
  <c r="B4" i="5"/>
  <c r="B7" i="5"/>
  <c r="B5" i="5"/>
  <c r="D24" i="4"/>
  <c r="D14" i="4"/>
  <c r="B55" i="1"/>
  <c r="G61" i="1" l="1"/>
  <c r="G56" i="1"/>
  <c r="G58" i="1" s="1"/>
  <c r="G55" i="1"/>
  <c r="G64" i="1"/>
  <c r="G62" i="1"/>
  <c r="E64" i="1"/>
  <c r="E62" i="1"/>
  <c r="C18" i="5"/>
  <c r="D60" i="4"/>
  <c r="D62" i="1"/>
  <c r="F62" i="1"/>
  <c r="D64" i="1"/>
  <c r="F64" i="1"/>
  <c r="C64" i="1"/>
  <c r="C62" i="1"/>
  <c r="F59" i="1"/>
  <c r="F60" i="1"/>
  <c r="C32" i="5"/>
  <c r="C33" i="5" s="1"/>
  <c r="E18" i="5"/>
  <c r="E22" i="5" s="1"/>
  <c r="E23" i="5" s="1"/>
  <c r="C22" i="5"/>
  <c r="C23" i="5" s="1"/>
  <c r="E5" i="5"/>
  <c r="E8" i="5" s="1"/>
  <c r="E9" i="5" s="1"/>
  <c r="C16" i="5"/>
  <c r="C31" i="5" s="1"/>
  <c r="C34" i="5" s="1"/>
  <c r="C35" i="5" s="1"/>
  <c r="B8" i="5"/>
  <c r="G59" i="1" l="1"/>
  <c r="G60" i="1"/>
  <c r="E16" i="5"/>
  <c r="E24" i="5" s="1"/>
  <c r="E25" i="5" s="1"/>
  <c r="C24" i="5"/>
  <c r="C25" i="5" s="1"/>
  <c r="B9" i="5"/>
  <c r="D10" i="4" l="1"/>
  <c r="D7" i="4"/>
  <c r="D12" i="4"/>
  <c r="D11" i="4"/>
  <c r="D6" i="4"/>
  <c r="G17" i="4"/>
  <c r="G16" i="4"/>
  <c r="D17" i="4"/>
  <c r="D16" i="4"/>
  <c r="I100" i="5" l="1"/>
  <c r="K100" i="5" s="1"/>
  <c r="G135" i="5"/>
  <c r="H135" i="5" s="1"/>
  <c r="G134" i="5"/>
  <c r="H134" i="5" s="1"/>
  <c r="G133" i="5"/>
  <c r="H133" i="5" s="1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G104" i="5"/>
  <c r="H104" i="5" s="1"/>
  <c r="G105" i="5"/>
  <c r="H105" i="5" s="1"/>
  <c r="G106" i="5"/>
  <c r="H106" i="5" s="1"/>
  <c r="G107" i="5"/>
  <c r="H107" i="5" s="1"/>
  <c r="G108" i="5"/>
  <c r="H108" i="5" s="1"/>
  <c r="G109" i="5"/>
  <c r="H109" i="5" s="1"/>
  <c r="G110" i="5"/>
  <c r="H110" i="5" s="1"/>
  <c r="G111" i="5"/>
  <c r="H111" i="5" s="1"/>
  <c r="G112" i="5"/>
  <c r="H112" i="5" s="1"/>
  <c r="G113" i="5"/>
  <c r="H113" i="5" s="1"/>
  <c r="G114" i="5"/>
  <c r="H114" i="5" s="1"/>
  <c r="G103" i="5"/>
  <c r="C58" i="5"/>
  <c r="C70" i="5" s="1"/>
  <c r="I121" i="5"/>
  <c r="K121" i="5" s="1"/>
  <c r="N121" i="5"/>
  <c r="D61" i="4" l="1"/>
  <c r="D68" i="4" s="1"/>
  <c r="J125" i="5"/>
  <c r="J126" i="5"/>
  <c r="J127" i="5"/>
  <c r="J128" i="5"/>
  <c r="J129" i="5"/>
  <c r="J130" i="5"/>
  <c r="J131" i="5"/>
  <c r="J132" i="5"/>
  <c r="J133" i="5"/>
  <c r="J134" i="5"/>
  <c r="J135" i="5"/>
  <c r="J124" i="5"/>
  <c r="J136" i="5" s="1"/>
  <c r="G115" i="5"/>
  <c r="H103" i="5"/>
  <c r="H115" i="5" s="1"/>
  <c r="G136" i="5"/>
  <c r="H124" i="5"/>
  <c r="K125" i="5"/>
  <c r="L125" i="5" s="1"/>
  <c r="K126" i="5"/>
  <c r="L126" i="5" s="1"/>
  <c r="K127" i="5"/>
  <c r="L127" i="5" s="1"/>
  <c r="K128" i="5"/>
  <c r="L128" i="5" s="1"/>
  <c r="K129" i="5"/>
  <c r="L129" i="5" s="1"/>
  <c r="K130" i="5"/>
  <c r="L130" i="5" s="1"/>
  <c r="K131" i="5"/>
  <c r="L131" i="5" s="1"/>
  <c r="K132" i="5"/>
  <c r="L132" i="5" s="1"/>
  <c r="K133" i="5"/>
  <c r="L133" i="5" s="1"/>
  <c r="K134" i="5"/>
  <c r="L134" i="5" s="1"/>
  <c r="K135" i="5"/>
  <c r="L135" i="5" s="1"/>
  <c r="E60" i="4"/>
  <c r="E61" i="4"/>
  <c r="B67" i="4"/>
  <c r="C67" i="4" s="1"/>
  <c r="D67" i="4" s="1"/>
  <c r="E68" i="4" l="1"/>
  <c r="B75" i="4"/>
  <c r="C57" i="5"/>
  <c r="F61" i="4"/>
  <c r="E58" i="5"/>
  <c r="F60" i="4"/>
  <c r="F68" i="4" s="1"/>
  <c r="E59" i="5"/>
  <c r="E72" i="5" s="1"/>
  <c r="E74" i="5" s="1"/>
  <c r="K124" i="5"/>
  <c r="L124" i="5" s="1"/>
  <c r="L136" i="5" s="1"/>
  <c r="H136" i="5"/>
  <c r="K136" i="5" s="1"/>
  <c r="B70" i="4"/>
  <c r="B72" i="4" s="1"/>
  <c r="B69" i="4"/>
  <c r="C63" i="4" l="1"/>
  <c r="C62" i="4"/>
  <c r="F62" i="4"/>
  <c r="F63" i="4"/>
  <c r="F64" i="4"/>
  <c r="F65" i="4"/>
  <c r="F66" i="4"/>
  <c r="E63" i="4"/>
  <c r="E64" i="4"/>
  <c r="E65" i="4"/>
  <c r="E66" i="4"/>
  <c r="E62" i="4"/>
  <c r="D62" i="4"/>
  <c r="D63" i="4"/>
  <c r="F58" i="5"/>
  <c r="F70" i="5" s="1"/>
  <c r="F76" i="5" s="1"/>
  <c r="E70" i="5"/>
  <c r="E76" i="5" s="1"/>
  <c r="C69" i="4" l="1"/>
  <c r="C75" i="4"/>
  <c r="C70" i="4"/>
  <c r="D75" i="4"/>
  <c r="D70" i="4"/>
  <c r="D69" i="4"/>
  <c r="E67" i="4"/>
  <c r="D13" i="4"/>
  <c r="E75" i="4" l="1"/>
  <c r="E70" i="4"/>
  <c r="E69" i="4"/>
  <c r="E72" i="4"/>
  <c r="C72" i="4"/>
  <c r="D15" i="4"/>
  <c r="E78" i="4" l="1"/>
  <c r="E76" i="4"/>
  <c r="C76" i="4"/>
  <c r="C78" i="4"/>
  <c r="D23" i="4"/>
  <c r="Q46" i="1" l="1"/>
  <c r="B42" i="1" l="1"/>
  <c r="Q47" i="1"/>
  <c r="Q48" i="1" s="1"/>
  <c r="R47" i="1"/>
  <c r="R48" i="1" s="1"/>
  <c r="F59" i="4" l="1"/>
  <c r="E59" i="4"/>
  <c r="D59" i="4"/>
  <c r="B47" i="1"/>
  <c r="N48" i="1"/>
  <c r="H48" i="1"/>
  <c r="E73" i="4" l="1"/>
  <c r="E74" i="4"/>
  <c r="R60" i="1"/>
  <c r="R59" i="1"/>
  <c r="Q60" i="1"/>
  <c r="Q59" i="1"/>
  <c r="P60" i="1" l="1"/>
  <c r="P59" i="1"/>
  <c r="O60" i="1"/>
  <c r="O59" i="1"/>
  <c r="C74" i="4"/>
  <c r="C73" i="4"/>
  <c r="C76" i="5" l="1"/>
  <c r="C68" i="5"/>
  <c r="D57" i="5"/>
  <c r="E57" i="5" s="1"/>
  <c r="D68" i="5"/>
  <c r="D77" i="5"/>
  <c r="D79" i="5"/>
  <c r="F57" i="5" l="1"/>
  <c r="E68" i="5"/>
  <c r="E77" i="5" s="1"/>
  <c r="E79" i="5" s="1"/>
  <c r="D83" i="5"/>
  <c r="D80" i="5"/>
  <c r="D81" i="5" s="1"/>
  <c r="C83" i="5"/>
  <c r="C80" i="5"/>
  <c r="C81" i="5" s="1"/>
  <c r="C77" i="5"/>
  <c r="C79" i="5" s="1"/>
  <c r="E83" i="5"/>
  <c r="E80" i="5"/>
  <c r="E81" i="5" s="1"/>
  <c r="F68" i="5"/>
  <c r="G57" i="5"/>
  <c r="G68" i="5" s="1"/>
  <c r="G77" i="5" l="1"/>
  <c r="G79" i="5" s="1"/>
  <c r="G83" i="5"/>
  <c r="G80" i="5"/>
  <c r="G81" i="5" s="1"/>
  <c r="F77" i="5"/>
  <c r="F79" i="5" s="1"/>
  <c r="F83" i="5"/>
  <c r="F80" i="5"/>
  <c r="F81" i="5" s="1"/>
  <c r="E82" i="5"/>
  <c r="E84" i="5"/>
  <c r="C84" i="5"/>
  <c r="C82" i="5"/>
  <c r="D82" i="5"/>
  <c r="D84" i="5"/>
  <c r="D87" i="5" l="1"/>
  <c r="D88" i="5" s="1"/>
  <c r="D89" i="5"/>
  <c r="C93" i="5" s="1"/>
  <c r="C87" i="5"/>
  <c r="C88" i="5" s="1"/>
  <c r="C89" i="5"/>
  <c r="E87" i="5"/>
  <c r="E88" i="5" s="1"/>
  <c r="E89" i="5"/>
  <c r="F82" i="5"/>
  <c r="F84" i="5"/>
  <c r="G82" i="5"/>
  <c r="G84" i="5"/>
  <c r="G87" i="5" l="1"/>
  <c r="G88" i="5" s="1"/>
  <c r="G89" i="5"/>
  <c r="E93" i="5" s="1"/>
  <c r="F87" i="5"/>
  <c r="F88" i="5" s="1"/>
  <c r="F89" i="5" s="1"/>
  <c r="E91" i="5" s="1"/>
  <c r="E92" i="5"/>
  <c r="E94" i="5"/>
  <c r="C91" i="5"/>
  <c r="C94" i="5"/>
  <c r="D72" i="4" l="1"/>
  <c r="F67" i="4"/>
  <c r="F70" i="4" l="1"/>
  <c r="F69" i="4"/>
  <c r="F75" i="4"/>
  <c r="D76" i="4"/>
  <c r="D78" i="4"/>
  <c r="F72" i="4"/>
  <c r="D74" i="4"/>
  <c r="D73" i="4"/>
  <c r="F76" i="4" l="1"/>
  <c r="F78" i="4"/>
  <c r="F74" i="4"/>
  <c r="F73" i="4"/>
</calcChain>
</file>

<file path=xl/sharedStrings.xml><?xml version="1.0" encoding="utf-8"?>
<sst xmlns="http://schemas.openxmlformats.org/spreadsheetml/2006/main" count="475" uniqueCount="241">
  <si>
    <t>Bezeichnung</t>
  </si>
  <si>
    <t>Investition</t>
  </si>
  <si>
    <t>Kosteneinsparung nach 20 Jahren</t>
  </si>
  <si>
    <t>Autarkie Wärme</t>
  </si>
  <si>
    <t>Autarkie Strom</t>
  </si>
  <si>
    <t>Förderung</t>
  </si>
  <si>
    <t>Solarthermie</t>
  </si>
  <si>
    <t>Wärmeerzeuger</t>
  </si>
  <si>
    <t>Schornstein</t>
  </si>
  <si>
    <t>Gasanschluss</t>
  </si>
  <si>
    <t>Heizsystem</t>
  </si>
  <si>
    <t>Photovoltaik</t>
  </si>
  <si>
    <t>Batteriespeicher</t>
  </si>
  <si>
    <t>verbleibende Investition</t>
  </si>
  <si>
    <t>Stromverbrauch</t>
  </si>
  <si>
    <t>kWh/a</t>
  </si>
  <si>
    <t>Amortisationszeit (a - Jahre)</t>
  </si>
  <si>
    <t>CO2 (t/a - Tonnen pro Jahr)</t>
  </si>
  <si>
    <t>Endenergie (kWh/a - kWh pro Jahr)</t>
  </si>
  <si>
    <t>Gaspreis</t>
  </si>
  <si>
    <t>Strompreis</t>
  </si>
  <si>
    <t>Cent/kWh</t>
  </si>
  <si>
    <t>Strom</t>
  </si>
  <si>
    <t>Holzpreis</t>
  </si>
  <si>
    <t>Pelletpreis</t>
  </si>
  <si>
    <t>€/ rm</t>
  </si>
  <si>
    <t>€/ t</t>
  </si>
  <si>
    <t>kWh/rm</t>
  </si>
  <si>
    <t>kWh/t</t>
  </si>
  <si>
    <t>CO2-Faktoren:</t>
  </si>
  <si>
    <t>Gas</t>
  </si>
  <si>
    <t>Holz</t>
  </si>
  <si>
    <t>Pellet</t>
  </si>
  <si>
    <t>kg/kWh</t>
  </si>
  <si>
    <t>Ausgangswerte:</t>
  </si>
  <si>
    <t>Ist-Zustand</t>
  </si>
  <si>
    <t>Brennstofflager</t>
  </si>
  <si>
    <t>Wasserspeicher</t>
  </si>
  <si>
    <t>Instandhaltungsanteil</t>
  </si>
  <si>
    <t>Ölpreis</t>
  </si>
  <si>
    <t>Öl</t>
  </si>
  <si>
    <t>Energiekosten pro Jahr</t>
  </si>
  <si>
    <t>Wartungskosten etc. pro Jahr</t>
  </si>
  <si>
    <t>Betriebskosten pro Jahr</t>
  </si>
  <si>
    <t>Strom pro Jahr</t>
  </si>
  <si>
    <t>Investition im Vergleich</t>
  </si>
  <si>
    <t xml:space="preserve"> Investitionskosten: höchstens 5.000 € Zusatzkosten</t>
  </si>
  <si>
    <t xml:space="preserve"> Kohlendioxidbelastung: höchstens 2 Tonnen jährlich</t>
  </si>
  <si>
    <t>Betriebskosten: höchstens 1.500 € jährlich</t>
  </si>
  <si>
    <t>Autarkie Wärme: mindestens 50 Prozent</t>
  </si>
  <si>
    <t>Kosteneinsparung: mindestens 5.000 € über 20 Jahre</t>
  </si>
  <si>
    <t>Autarkie Strom: mindestens 50 Prozent</t>
  </si>
  <si>
    <t>Amortisationszeit: höchstens 10 Jahre</t>
  </si>
  <si>
    <t>Ölverbrauch</t>
  </si>
  <si>
    <t>Liter</t>
  </si>
  <si>
    <t>In diesen Feldern stehen die im Ratgeber dokumentierten Vorgabewerte</t>
  </si>
  <si>
    <t>grüne Schriftfarbe</t>
  </si>
  <si>
    <t>rote Schriftfarbe</t>
  </si>
  <si>
    <t>Bei dieser Varianten ist die Investition geringer als im Ist-Zustand</t>
  </si>
  <si>
    <t>In dieser Zeile ist die Variante ungünstiger als der Ist-Zustand</t>
  </si>
  <si>
    <t>Bitte eigene Werte eintragen</t>
  </si>
  <si>
    <t>Förderfähig für BEG EM</t>
  </si>
  <si>
    <t>Förderung BEG EM</t>
  </si>
  <si>
    <t xml:space="preserve">sonstige Förderung </t>
  </si>
  <si>
    <t>Sonstige Förderung</t>
  </si>
  <si>
    <t>Förderung Land/ Kommune</t>
  </si>
  <si>
    <t>Heizwärme pro Jahr</t>
  </si>
  <si>
    <t>Warmwasserbereitung pro Jahr</t>
  </si>
  <si>
    <t>kWh</t>
  </si>
  <si>
    <t>Autarkie Gesamt</t>
  </si>
  <si>
    <t>Autarkie Gesamt: mindestens 50 Prozent</t>
  </si>
  <si>
    <t>Gasverbrauch</t>
  </si>
  <si>
    <t>Energie für Warmwasser (aus Tab.1)</t>
  </si>
  <si>
    <t>Verluste Warmwasser (aus Tab1)</t>
  </si>
  <si>
    <t>Scheitholzverbrauch</t>
  </si>
  <si>
    <t>Pelletverbrauch</t>
  </si>
  <si>
    <t>Heizstromverbrauch</t>
  </si>
  <si>
    <t>rm</t>
  </si>
  <si>
    <t>t</t>
  </si>
  <si>
    <t>Heizstrompreis</t>
  </si>
  <si>
    <t>Erdgas pro Jahr</t>
  </si>
  <si>
    <t xml:space="preserve">                            1,4 €/ Liter</t>
  </si>
  <si>
    <t xml:space="preserve">                            12,0 ct/kWh</t>
  </si>
  <si>
    <t xml:space="preserve">                            40,0 ct/kWh</t>
  </si>
  <si>
    <t xml:space="preserve">                          4000 kWh/a</t>
  </si>
  <si>
    <t>Wirkungsgrad Heizung (Brennwert)</t>
  </si>
  <si>
    <t>€/Liter</t>
  </si>
  <si>
    <t>Neubauvorhaben</t>
  </si>
  <si>
    <t>a</t>
  </si>
  <si>
    <t>n oder a eingeben</t>
  </si>
  <si>
    <t>Vorlauftemperatur</t>
  </si>
  <si>
    <t>nur Brauchwasser</t>
  </si>
  <si>
    <t>Röhrenkollektor</t>
  </si>
  <si>
    <t>Luftkollektor</t>
  </si>
  <si>
    <t>Fläche</t>
  </si>
  <si>
    <t>Brauchwasser Anlage Flachkollektor</t>
  </si>
  <si>
    <t>Ertrag</t>
  </si>
  <si>
    <t>Solarertrag</t>
  </si>
  <si>
    <t>Öl pro Jahr</t>
  </si>
  <si>
    <t>Scheitholz pro Jahr</t>
  </si>
  <si>
    <t>Pellet pro Jahr</t>
  </si>
  <si>
    <t>Heizstrom pro Jahr</t>
  </si>
  <si>
    <t>Faktor</t>
  </si>
  <si>
    <t>Globalstrahlung</t>
  </si>
  <si>
    <t>kWh/m²a</t>
  </si>
  <si>
    <t>Globalstarhlung</t>
  </si>
  <si>
    <t>korr Solarertrag</t>
  </si>
  <si>
    <t>WW</t>
  </si>
  <si>
    <t>Heizungsunterstützung Flachkollektor</t>
  </si>
  <si>
    <t>Vorlauftemp</t>
  </si>
  <si>
    <t>Eingangsdaten:</t>
  </si>
  <si>
    <t xml:space="preserve"> WW</t>
  </si>
  <si>
    <t>Heizwärme</t>
  </si>
  <si>
    <t>VL</t>
  </si>
  <si>
    <t>Kolektorart</t>
  </si>
  <si>
    <t>Flach</t>
  </si>
  <si>
    <t>Röhre</t>
  </si>
  <si>
    <t>Luft</t>
  </si>
  <si>
    <t>Ausgabe</t>
  </si>
  <si>
    <t>Ertrag/m2</t>
  </si>
  <si>
    <t>Wenn Luft</t>
  </si>
  <si>
    <t>Wenn Flach</t>
  </si>
  <si>
    <t>wenn 4 p</t>
  </si>
  <si>
    <t>wenn wenig Heizung</t>
  </si>
  <si>
    <t>NT-Hzg</t>
  </si>
  <si>
    <t>nur WW</t>
  </si>
  <si>
    <t>Korr WW</t>
  </si>
  <si>
    <t>Korr Hzg</t>
  </si>
  <si>
    <t>Autarkie gesamt</t>
  </si>
  <si>
    <t>Brauchwasser und</t>
  </si>
  <si>
    <t>E7 PV</t>
  </si>
  <si>
    <t>E10 spez Ertrag</t>
  </si>
  <si>
    <t>E11 Stromerz</t>
  </si>
  <si>
    <t>E13 Speicher</t>
  </si>
  <si>
    <t>U 24 Haushalt</t>
  </si>
  <si>
    <t>U 18 DLE</t>
  </si>
  <si>
    <t>U19 WW sonst</t>
  </si>
  <si>
    <t>U20 WP</t>
  </si>
  <si>
    <t>U21 Ehzg</t>
  </si>
  <si>
    <t>E112 nutzb Heizen</t>
  </si>
  <si>
    <t>E113 PV korr</t>
  </si>
  <si>
    <t>E114 V mit min</t>
  </si>
  <si>
    <t>E115 V ohne min</t>
  </si>
  <si>
    <t>E116 Faktor</t>
  </si>
  <si>
    <t>E117  Vdirekt</t>
  </si>
  <si>
    <t>E118 V über Batt</t>
  </si>
  <si>
    <t>E119 Batterieeffekt</t>
  </si>
  <si>
    <t>E120 Eigenverbrgrad</t>
  </si>
  <si>
    <t>E121 E zu V</t>
  </si>
  <si>
    <t>E122 Eigenverbr ohne Batt</t>
  </si>
  <si>
    <t>E124 Speicherv</t>
  </si>
  <si>
    <t>E125 Mehrnutzen Batt</t>
  </si>
  <si>
    <t>E126 Speicherv</t>
  </si>
  <si>
    <t>E127 Eigenverbr</t>
  </si>
  <si>
    <t>Variante 7 a</t>
  </si>
  <si>
    <t>Variante 7 c</t>
  </si>
  <si>
    <t>Variante 7 e</t>
  </si>
  <si>
    <t>Wärmepumpe</t>
  </si>
  <si>
    <t>Variante 7 f</t>
  </si>
  <si>
    <t>Erd-Wärmepumpe</t>
  </si>
  <si>
    <t>Heizung</t>
  </si>
  <si>
    <t>Variante 7 g</t>
  </si>
  <si>
    <t>Luft-Wärmepumpe</t>
  </si>
  <si>
    <t>Variante7 h</t>
  </si>
  <si>
    <t>Zentralgerät</t>
  </si>
  <si>
    <t>mit Luft/ Luft-</t>
  </si>
  <si>
    <t>ct/kWh</t>
  </si>
  <si>
    <t>Wärmepumpenstrompreis</t>
  </si>
  <si>
    <t>Dortmund, Globalstr 1000 kWh/m²</t>
  </si>
  <si>
    <t>5 kWp</t>
  </si>
  <si>
    <t>kWh/d</t>
  </si>
  <si>
    <t>Warmwasser</t>
  </si>
  <si>
    <t>kWh/Mon</t>
  </si>
  <si>
    <t>Monat</t>
  </si>
  <si>
    <t>Tage</t>
  </si>
  <si>
    <t>Em(5kWp)</t>
  </si>
  <si>
    <t>Pmax (kW)</t>
  </si>
  <si>
    <t>Tageslänge</t>
  </si>
  <si>
    <t>Deckung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</si>
  <si>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</si>
  <si>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</si>
  <si>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</si>
  <si>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</si>
  <si>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</si>
  <si>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</si>
  <si>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</si>
  <si>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</si>
  <si>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</si>
  <si>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</si>
  <si>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</si>
  <si>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</si>
  <si>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Summe</t>
  </si>
  <si>
    <t>p</t>
  </si>
  <si>
    <t>Em</t>
  </si>
  <si>
    <t>Warmw</t>
  </si>
  <si>
    <t>Wärme</t>
  </si>
  <si>
    <t>GTZ</t>
  </si>
  <si>
    <t>Heizw</t>
  </si>
  <si>
    <t>PV</t>
  </si>
  <si>
    <t>spez Ertrag</t>
  </si>
  <si>
    <t>Haushalt</t>
  </si>
  <si>
    <t>ww</t>
  </si>
  <si>
    <t>HZg</t>
  </si>
  <si>
    <t>Strom für ww</t>
  </si>
  <si>
    <t>Strom für Haush</t>
  </si>
  <si>
    <t>Strom für Hzg</t>
  </si>
  <si>
    <t>Stromeinspeisung</t>
  </si>
  <si>
    <t>Tabelle 6:</t>
  </si>
  <si>
    <t>zu Kapitel 3, Wärmepumpen</t>
  </si>
  <si>
    <t>Jahresarbeitszahl (JAZ)</t>
  </si>
  <si>
    <t>Wärmepumpenstrom pro Jahr</t>
  </si>
  <si>
    <t>Leistung Wärmepumpe</t>
  </si>
  <si>
    <t>Jahresarbeitszahl</t>
  </si>
  <si>
    <t>Variante 7 f - 1</t>
  </si>
  <si>
    <t>mit Heizkörpern</t>
  </si>
  <si>
    <t>mit Flächenheizung</t>
  </si>
  <si>
    <t>Variante 7 g - 1</t>
  </si>
  <si>
    <t>JAZ</t>
  </si>
  <si>
    <t>Leistung WP</t>
  </si>
  <si>
    <t>Sondenlänge</t>
  </si>
  <si>
    <t>Erdsonde</t>
  </si>
  <si>
    <t>WW Nutz</t>
  </si>
  <si>
    <t>Sondenlänge gesamt</t>
  </si>
  <si>
    <t>Haushalt A</t>
  </si>
  <si>
    <t>Haushalt B</t>
  </si>
  <si>
    <t>Haushalt C</t>
  </si>
  <si>
    <t>maximale förderfähige Kosten</t>
  </si>
  <si>
    <t>Fördersatz</t>
  </si>
  <si>
    <t>Die Förderung bezieht sich auf die neue Bundesförderung für effiziente Gebäude (BEG) ab 01.01.2024</t>
  </si>
  <si>
    <t>Energiepreise Stand 2023 teilweise orientiert an den Preisdeckeln, ohne Preissteigerung</t>
  </si>
  <si>
    <t>Tragen Sie hier Ihre individuellen Werte ein  - Stand 02.01.2024</t>
  </si>
  <si>
    <t>Vollständige Tabelle mit allen Varianten  - Stand 02.01.2024</t>
  </si>
  <si>
    <t>Wohnfläche</t>
  </si>
  <si>
    <t>m²</t>
  </si>
  <si>
    <t>Energiekennwert</t>
  </si>
  <si>
    <t>Bewertung des Energiekennwerts:</t>
  </si>
  <si>
    <t>gut</t>
  </si>
  <si>
    <t>mittel</t>
  </si>
  <si>
    <t>schlecht</t>
  </si>
  <si>
    <t>bis mittel</t>
  </si>
  <si>
    <t>bis 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</si>
</sst>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\ \ &quot;a&quot;"/>
    <numFmt numFmtId="168" formatCode="0.0\ \ &quot;a&quot;"/>
    <numFmt numFmtId="169" formatCode="#,##0.0"/>
    <numFmt numFmtId="170" formatCode="#,##0.000"/>
    <numFmt numFmtId="171" formatCode="0.0"/>
    <numFmt numFmtId="172" formatCode="0.000"/>
    <numFmt numFmtId="173" formatCode="0.0\ &quot;ct/kWh&quot;"/>
    <numFmt numFmtId="174" formatCode="#,##0\ &quot;Liter/a&quot;"/>
    <numFmt numFmtId="175" formatCode="#,##0\ &quot;oC&quot;"/>
    <numFmt numFmtId="176" formatCode="#,##0\ &quot;kWh/m²a&quot;"/>
    <numFmt numFmtId="177" formatCode="0.0%"/>
    <numFmt numFmtId="178" formatCode="#,##0\ &quot;l/a&quot;"/>
    <numFmt numFmtId="179" formatCode="0\ &quot;oC&quot;"/>
    <numFmt numFmtId="180" formatCode="0\ &quot;kWp&quot;"/>
    <numFmt numFmtId="181" formatCode="#,##0.00\ _€"/>
    <numFmt numFmtId="182" formatCode="0\ &quot;m&quot;"/>
    <numFmt numFmtId="183" formatCode="0.0\ &quot;kW&quot;"/>
    <numFmt numFmtId="184" formatCode="0\ &quot;m²&quot;"/>
  </numFmts>
  <fonts count="13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color rgb="FF339933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0" fontId="2" fillId="0" borderId="0" xfId="0" applyFont="1" applyAlignment="1">
      <alignment horizontal="right"/>
    </xf>
    <xf numFmtId="0" fontId="6" fillId="0" borderId="0" xfId="0" applyFont="1"/>
    <xf numFmtId="0" fontId="0" fillId="10" borderId="0" xfId="0" applyFill="1"/>
    <xf numFmtId="0" fontId="0" fillId="10" borderId="3" xfId="0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1" fillId="10" borderId="10" xfId="0" applyFont="1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0" xfId="0" applyFill="1" applyBorder="1"/>
    <xf numFmtId="0" fontId="1" fillId="0" borderId="1" xfId="0" applyFont="1" applyBorder="1"/>
    <xf numFmtId="164" fontId="0" fillId="0" borderId="1" xfId="0" applyNumberFormat="1" applyBorder="1"/>
    <xf numFmtId="0" fontId="1" fillId="0" borderId="14" xfId="0" applyFont="1" applyBorder="1"/>
    <xf numFmtId="164" fontId="1" fillId="0" borderId="14" xfId="0" applyNumberFormat="1" applyFont="1" applyBorder="1"/>
    <xf numFmtId="6" fontId="1" fillId="0" borderId="14" xfId="0" applyNumberFormat="1" applyFont="1" applyBorder="1"/>
    <xf numFmtId="165" fontId="1" fillId="0" borderId="14" xfId="0" applyNumberFormat="1" applyFont="1" applyBorder="1"/>
    <xf numFmtId="0" fontId="1" fillId="0" borderId="15" xfId="0" applyFont="1" applyBorder="1"/>
    <xf numFmtId="0" fontId="1" fillId="0" borderId="13" xfId="0" applyFont="1" applyBorder="1"/>
    <xf numFmtId="164" fontId="0" fillId="0" borderId="13" xfId="0" applyNumberFormat="1" applyBorder="1"/>
    <xf numFmtId="164" fontId="0" fillId="10" borderId="16" xfId="0" applyNumberFormat="1" applyFill="1" applyBorder="1"/>
    <xf numFmtId="164" fontId="0" fillId="10" borderId="17" xfId="0" applyNumberFormat="1" applyFill="1" applyBorder="1"/>
    <xf numFmtId="164" fontId="1" fillId="10" borderId="16" xfId="0" applyNumberFormat="1" applyFont="1" applyFill="1" applyBorder="1"/>
    <xf numFmtId="164" fontId="1" fillId="10" borderId="17" xfId="0" applyNumberFormat="1" applyFont="1" applyFill="1" applyBorder="1"/>
    <xf numFmtId="0" fontId="1" fillId="0" borderId="16" xfId="0" applyFont="1" applyBorder="1"/>
    <xf numFmtId="165" fontId="0" fillId="0" borderId="16" xfId="0" applyNumberFormat="1" applyBorder="1"/>
    <xf numFmtId="0" fontId="1" fillId="0" borderId="2" xfId="0" applyFont="1" applyBorder="1"/>
    <xf numFmtId="165" fontId="0" fillId="0" borderId="2" xfId="0" applyNumberFormat="1" applyBorder="1"/>
    <xf numFmtId="164" fontId="0" fillId="0" borderId="2" xfId="0" applyNumberFormat="1" applyBorder="1"/>
    <xf numFmtId="164" fontId="1" fillId="0" borderId="13" xfId="0" applyNumberFormat="1" applyFont="1" applyBorder="1"/>
    <xf numFmtId="164" fontId="3" fillId="0" borderId="13" xfId="0" applyNumberFormat="1" applyFont="1" applyBorder="1"/>
    <xf numFmtId="6" fontId="0" fillId="0" borderId="13" xfId="0" applyNumberFormat="1" applyBorder="1"/>
    <xf numFmtId="167" fontId="0" fillId="0" borderId="13" xfId="0" applyNumberFormat="1" applyBorder="1"/>
    <xf numFmtId="168" fontId="4" fillId="0" borderId="13" xfId="0" applyNumberFormat="1" applyFont="1" applyBorder="1"/>
    <xf numFmtId="166" fontId="0" fillId="0" borderId="13" xfId="0" applyNumberFormat="1" applyBorder="1"/>
    <xf numFmtId="9" fontId="0" fillId="0" borderId="13" xfId="0" applyNumberFormat="1" applyBorder="1"/>
    <xf numFmtId="6" fontId="0" fillId="10" borderId="18" xfId="0" applyNumberFormat="1" applyFill="1" applyBorder="1"/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7" fillId="0" borderId="21" xfId="0" applyFont="1" applyBorder="1"/>
    <xf numFmtId="0" fontId="3" fillId="0" borderId="0" xfId="0" applyFont="1"/>
    <xf numFmtId="0" fontId="0" fillId="0" borderId="22" xfId="0" applyBorder="1"/>
    <xf numFmtId="0" fontId="5" fillId="0" borderId="23" xfId="0" applyFont="1" applyBorder="1"/>
    <xf numFmtId="0" fontId="3" fillId="0" borderId="24" xfId="0" applyFont="1" applyBorder="1"/>
    <xf numFmtId="0" fontId="0" fillId="0" borderId="24" xfId="0" applyBorder="1"/>
    <xf numFmtId="0" fontId="0" fillId="0" borderId="25" xfId="0" applyBorder="1"/>
    <xf numFmtId="6" fontId="0" fillId="4" borderId="18" xfId="0" applyNumberFormat="1" applyFill="1" applyBorder="1"/>
    <xf numFmtId="166" fontId="0" fillId="5" borderId="19" xfId="0" applyNumberFormat="1" applyFill="1" applyBorder="1"/>
    <xf numFmtId="6" fontId="0" fillId="0" borderId="19" xfId="0" applyNumberFormat="1" applyBorder="1"/>
    <xf numFmtId="164" fontId="0" fillId="6" borderId="21" xfId="0" applyNumberFormat="1" applyFill="1" applyBorder="1"/>
    <xf numFmtId="9" fontId="0" fillId="7" borderId="0" xfId="0" applyNumberFormat="1" applyFill="1"/>
    <xf numFmtId="6" fontId="0" fillId="8" borderId="21" xfId="0" applyNumberFormat="1" applyFill="1" applyBorder="1"/>
    <xf numFmtId="9" fontId="0" fillId="9" borderId="0" xfId="0" applyNumberFormat="1" applyFill="1"/>
    <xf numFmtId="167" fontId="4" fillId="3" borderId="23" xfId="0" applyNumberFormat="1" applyFont="1" applyFill="1" applyBorder="1"/>
    <xf numFmtId="0" fontId="6" fillId="11" borderId="0" xfId="0" applyFont="1" applyFill="1"/>
    <xf numFmtId="169" fontId="0" fillId="2" borderId="2" xfId="0" applyNumberForma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0" fontId="3" fillId="10" borderId="2" xfId="0" applyFont="1" applyFill="1" applyBorder="1"/>
    <xf numFmtId="0" fontId="0" fillId="10" borderId="2" xfId="0" applyFill="1" applyBorder="1"/>
    <xf numFmtId="4" fontId="0" fillId="2" borderId="2" xfId="0" applyNumberFormat="1" applyFill="1" applyBorder="1" applyProtection="1">
      <protection locked="0"/>
    </xf>
    <xf numFmtId="0" fontId="8" fillId="10" borderId="12" xfId="0" applyFont="1" applyFill="1" applyBorder="1"/>
    <xf numFmtId="0" fontId="1" fillId="10" borderId="2" xfId="0" applyFont="1" applyFill="1" applyBorder="1"/>
    <xf numFmtId="170" fontId="0" fillId="2" borderId="11" xfId="0" applyNumberFormat="1" applyFill="1" applyBorder="1" applyProtection="1">
      <protection locked="0"/>
    </xf>
    <xf numFmtId="0" fontId="9" fillId="10" borderId="10" xfId="0" applyFont="1" applyFill="1" applyBorder="1"/>
    <xf numFmtId="0" fontId="8" fillId="10" borderId="10" xfId="0" applyFont="1" applyFill="1" applyBorder="1"/>
    <xf numFmtId="3" fontId="8" fillId="10" borderId="10" xfId="0" applyNumberFormat="1" applyFont="1" applyFill="1" applyBorder="1"/>
    <xf numFmtId="164" fontId="0" fillId="2" borderId="1" xfId="0" applyNumberFormat="1" applyFill="1" applyBorder="1" applyProtection="1">
      <protection locked="0"/>
    </xf>
    <xf numFmtId="164" fontId="0" fillId="0" borderId="16" xfId="0" applyNumberFormat="1" applyBorder="1"/>
    <xf numFmtId="164" fontId="0" fillId="2" borderId="16" xfId="0" applyNumberFormat="1" applyFill="1" applyBorder="1" applyProtection="1">
      <protection locked="0"/>
    </xf>
    <xf numFmtId="167" fontId="4" fillId="0" borderId="13" xfId="0" applyNumberFormat="1" applyFont="1" applyBorder="1"/>
    <xf numFmtId="0" fontId="10" fillId="0" borderId="0" xfId="0" applyFont="1"/>
    <xf numFmtId="0" fontId="1" fillId="0" borderId="26" xfId="0" applyFont="1" applyBorder="1"/>
    <xf numFmtId="164" fontId="0" fillId="0" borderId="26" xfId="0" applyNumberFormat="1" applyBorder="1"/>
    <xf numFmtId="164" fontId="0" fillId="2" borderId="2" xfId="0" applyNumberFormat="1" applyFill="1" applyBorder="1" applyProtection="1">
      <protection locked="0"/>
    </xf>
    <xf numFmtId="0" fontId="1" fillId="0" borderId="27" xfId="0" applyFont="1" applyBorder="1"/>
    <xf numFmtId="164" fontId="0" fillId="0" borderId="27" xfId="0" applyNumberFormat="1" applyBorder="1"/>
    <xf numFmtId="164" fontId="0" fillId="10" borderId="2" xfId="0" applyNumberFormat="1" applyFill="1" applyBorder="1"/>
    <xf numFmtId="0" fontId="1" fillId="10" borderId="27" xfId="0" applyFont="1" applyFill="1" applyBorder="1"/>
    <xf numFmtId="164" fontId="0" fillId="10" borderId="27" xfId="0" applyNumberFormat="1" applyFill="1" applyBorder="1"/>
    <xf numFmtId="3" fontId="0" fillId="10" borderId="11" xfId="0" applyNumberFormat="1" applyFill="1" applyBorder="1"/>
    <xf numFmtId="171" fontId="8" fillId="10" borderId="10" xfId="0" applyNumberFormat="1" applyFont="1" applyFill="1" applyBorder="1"/>
    <xf numFmtId="164" fontId="0" fillId="0" borderId="14" xfId="0" applyNumberFormat="1" applyBorder="1"/>
    <xf numFmtId="172" fontId="0" fillId="10" borderId="11" xfId="0" applyNumberFormat="1" applyFill="1" applyBorder="1"/>
    <xf numFmtId="0" fontId="3" fillId="11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8" fillId="10" borderId="0" xfId="0" applyFont="1" applyFill="1"/>
    <xf numFmtId="0" fontId="8" fillId="10" borderId="7" xfId="0" applyFont="1" applyFill="1" applyBorder="1"/>
    <xf numFmtId="172" fontId="8" fillId="10" borderId="10" xfId="0" applyNumberFormat="1" applyFont="1" applyFill="1" applyBorder="1"/>
    <xf numFmtId="165" fontId="0" fillId="0" borderId="0" xfId="0" applyNumberFormat="1"/>
    <xf numFmtId="0" fontId="11" fillId="0" borderId="0" xfId="0" applyFont="1"/>
    <xf numFmtId="165" fontId="0" fillId="0" borderId="26" xfId="0" applyNumberFormat="1" applyBorder="1"/>
    <xf numFmtId="2" fontId="0" fillId="0" borderId="0" xfId="0" applyNumberFormat="1"/>
    <xf numFmtId="0" fontId="8" fillId="10" borderId="11" xfId="0" applyFont="1" applyFill="1" applyBorder="1"/>
    <xf numFmtId="0" fontId="3" fillId="10" borderId="11" xfId="0" applyFont="1" applyFill="1" applyBorder="1"/>
    <xf numFmtId="173" fontId="12" fillId="10" borderId="11" xfId="0" applyNumberFormat="1" applyFont="1" applyFill="1" applyBorder="1" applyAlignment="1">
      <alignment horizontal="left"/>
    </xf>
    <xf numFmtId="0" fontId="0" fillId="10" borderId="28" xfId="0" applyFill="1" applyBorder="1"/>
    <xf numFmtId="3" fontId="0" fillId="2" borderId="18" xfId="0" applyNumberFormat="1" applyFill="1" applyBorder="1"/>
    <xf numFmtId="0" fontId="1" fillId="10" borderId="28" xfId="0" applyFont="1" applyFill="1" applyBorder="1"/>
    <xf numFmtId="3" fontId="8" fillId="10" borderId="10" xfId="0" applyNumberFormat="1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right"/>
    </xf>
    <xf numFmtId="175" fontId="3" fillId="2" borderId="2" xfId="0" applyNumberFormat="1" applyFont="1" applyFill="1" applyBorder="1" applyAlignment="1" applyProtection="1">
      <alignment horizontal="right"/>
      <protection locked="0"/>
    </xf>
    <xf numFmtId="176" fontId="3" fillId="10" borderId="2" xfId="0" applyNumberFormat="1" applyFont="1" applyFill="1" applyBorder="1"/>
    <xf numFmtId="0" fontId="0" fillId="12" borderId="0" xfId="0" applyFill="1"/>
    <xf numFmtId="177" fontId="0" fillId="0" borderId="13" xfId="0" applyNumberFormat="1" applyBorder="1"/>
    <xf numFmtId="178" fontId="0" fillId="0" borderId="26" xfId="0" applyNumberFormat="1" applyBorder="1"/>
    <xf numFmtId="174" fontId="3" fillId="10" borderId="2" xfId="0" applyNumberFormat="1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165" fontId="3" fillId="10" borderId="2" xfId="0" applyNumberFormat="1" applyFont="1" applyFill="1" applyBorder="1" applyAlignment="1">
      <alignment horizontal="center"/>
    </xf>
    <xf numFmtId="179" fontId="3" fillId="10" borderId="2" xfId="0" applyNumberFormat="1" applyFont="1" applyFill="1" applyBorder="1" applyAlignment="1">
      <alignment horizontal="center"/>
    </xf>
    <xf numFmtId="179" fontId="3" fillId="10" borderId="2" xfId="0" applyNumberFormat="1" applyFont="1" applyFill="1" applyBorder="1" applyAlignment="1">
      <alignment horizontal="right"/>
    </xf>
    <xf numFmtId="171" fontId="0" fillId="10" borderId="2" xfId="0" applyNumberFormat="1" applyFill="1" applyBorder="1"/>
    <xf numFmtId="0" fontId="12" fillId="0" borderId="0" xfId="0" applyFont="1"/>
    <xf numFmtId="180" fontId="12" fillId="0" borderId="0" xfId="0" applyNumberFormat="1" applyFont="1"/>
    <xf numFmtId="165" fontId="0" fillId="0" borderId="14" xfId="0" applyNumberFormat="1" applyBorder="1"/>
    <xf numFmtId="0" fontId="0" fillId="8" borderId="0" xfId="0" applyFill="1"/>
    <xf numFmtId="0" fontId="0" fillId="0" borderId="29" xfId="0" applyBorder="1"/>
    <xf numFmtId="1" fontId="0" fillId="0" borderId="29" xfId="0" applyNumberFormat="1" applyBorder="1"/>
    <xf numFmtId="2" fontId="0" fillId="0" borderId="29" xfId="0" applyNumberFormat="1" applyBorder="1"/>
    <xf numFmtId="0" fontId="0" fillId="13" borderId="29" xfId="0" applyFill="1" applyBorder="1"/>
    <xf numFmtId="1" fontId="0" fillId="13" borderId="29" xfId="0" applyNumberFormat="1" applyFill="1" applyBorder="1"/>
    <xf numFmtId="1" fontId="0" fillId="0" borderId="0" xfId="0" applyNumberFormat="1"/>
    <xf numFmtId="0" fontId="3" fillId="0" borderId="29" xfId="0" applyFont="1" applyBorder="1"/>
    <xf numFmtId="11" fontId="0" fillId="0" borderId="0" xfId="0" applyNumberFormat="1"/>
    <xf numFmtId="181" fontId="12" fillId="0" borderId="0" xfId="0" applyNumberFormat="1" applyFont="1"/>
    <xf numFmtId="4" fontId="3" fillId="2" borderId="2" xfId="0" applyNumberFormat="1" applyFont="1" applyFill="1" applyBorder="1" applyAlignment="1" applyProtection="1">
      <alignment horizontal="right"/>
      <protection locked="0"/>
    </xf>
    <xf numFmtId="4" fontId="3" fillId="2" borderId="26" xfId="0" applyNumberFormat="1" applyFont="1" applyFill="1" applyBorder="1" applyAlignment="1" applyProtection="1">
      <alignment horizontal="right"/>
      <protection locked="0"/>
    </xf>
    <xf numFmtId="0" fontId="1" fillId="10" borderId="4" xfId="0" applyFont="1" applyFill="1" applyBorder="1"/>
    <xf numFmtId="171" fontId="0" fillId="10" borderId="4" xfId="0" applyNumberFormat="1" applyFill="1" applyBorder="1"/>
    <xf numFmtId="0" fontId="3" fillId="10" borderId="5" xfId="0" applyFont="1" applyFill="1" applyBorder="1"/>
    <xf numFmtId="2" fontId="3" fillId="10" borderId="2" xfId="0" applyNumberFormat="1" applyFont="1" applyFill="1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2" fontId="3" fillId="10" borderId="2" xfId="0" applyNumberFormat="1" applyFont="1" applyFill="1" applyBorder="1" applyAlignment="1">
      <alignment horizontal="right"/>
    </xf>
    <xf numFmtId="164" fontId="3" fillId="10" borderId="17" xfId="0" applyNumberFormat="1" applyFont="1" applyFill="1" applyBorder="1"/>
    <xf numFmtId="182" fontId="0" fillId="0" borderId="2" xfId="0" applyNumberFormat="1" applyBorder="1"/>
    <xf numFmtId="183" fontId="1" fillId="0" borderId="2" xfId="0" applyNumberFormat="1" applyFont="1" applyBorder="1"/>
    <xf numFmtId="4" fontId="0" fillId="0" borderId="0" xfId="0" applyNumberFormat="1"/>
    <xf numFmtId="183" fontId="3" fillId="0" borderId="2" xfId="0" applyNumberFormat="1" applyFont="1" applyBorder="1"/>
    <xf numFmtId="183" fontId="3" fillId="10" borderId="2" xfId="0" applyNumberFormat="1" applyFont="1" applyFill="1" applyBorder="1" applyAlignment="1">
      <alignment horizontal="center"/>
    </xf>
    <xf numFmtId="183" fontId="1" fillId="10" borderId="2" xfId="0" applyNumberFormat="1" applyFont="1" applyFill="1" applyBorder="1" applyAlignment="1">
      <alignment horizontal="center"/>
    </xf>
    <xf numFmtId="183" fontId="3" fillId="10" borderId="2" xfId="0" applyNumberFormat="1" applyFont="1" applyFill="1" applyBorder="1" applyAlignment="1">
      <alignment horizontal="right"/>
    </xf>
    <xf numFmtId="182" fontId="1" fillId="10" borderId="2" xfId="0" applyNumberFormat="1" applyFont="1" applyFill="1" applyBorder="1"/>
    <xf numFmtId="182" fontId="3" fillId="10" borderId="2" xfId="0" applyNumberFormat="1" applyFont="1" applyFill="1" applyBorder="1" applyAlignment="1">
      <alignment horizontal="center"/>
    </xf>
    <xf numFmtId="182" fontId="1" fillId="10" borderId="2" xfId="0" applyNumberFormat="1" applyFont="1" applyFill="1" applyBorder="1" applyAlignment="1">
      <alignment horizontal="center"/>
    </xf>
    <xf numFmtId="182" fontId="3" fillId="10" borderId="2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79" fontId="3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9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center"/>
    </xf>
    <xf numFmtId="0" fontId="1" fillId="10" borderId="3" xfId="0" applyFont="1" applyFill="1" applyBorder="1"/>
    <xf numFmtId="3" fontId="0" fillId="10" borderId="4" xfId="0" applyNumberFormat="1" applyFill="1" applyBorder="1"/>
    <xf numFmtId="172" fontId="0" fillId="10" borderId="0" xfId="0" applyNumberFormat="1" applyFill="1"/>
    <xf numFmtId="171" fontId="0" fillId="10" borderId="8" xfId="0" applyNumberFormat="1" applyFill="1" applyBorder="1"/>
    <xf numFmtId="172" fontId="0" fillId="10" borderId="8" xfId="0" applyNumberFormat="1" applyFill="1" applyBorder="1"/>
    <xf numFmtId="9" fontId="0" fillId="2" borderId="2" xfId="0" applyNumberFormat="1" applyFill="1" applyBorder="1" applyProtection="1">
      <protection locked="0"/>
    </xf>
    <xf numFmtId="0" fontId="1" fillId="0" borderId="30" xfId="0" applyFont="1" applyBorder="1"/>
    <xf numFmtId="0" fontId="0" fillId="3" borderId="0" xfId="0" applyFill="1"/>
    <xf numFmtId="0" fontId="0" fillId="15" borderId="0" xfId="0" applyFill="1"/>
    <xf numFmtId="0" fontId="0" fillId="3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5" borderId="0" xfId="0" applyFill="1" applyAlignment="1">
      <alignment horizontal="center"/>
    </xf>
    <xf numFmtId="184" fontId="3" fillId="10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54">
    <dxf>
      <font>
        <color rgb="FFFF0000"/>
      </font>
    </dxf>
    <dxf>
      <font>
        <color rgb="FFFFC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ont>
        <color rgb="FFFF0000"/>
      </font>
    </dxf>
    <dxf>
      <fill>
        <patternFill>
          <bgColor rgb="FF69D8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rgb="FFFFC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FFC000"/>
      </font>
    </dxf>
    <dxf>
      <fill>
        <patternFill>
          <bgColor rgb="FFFF3F9F"/>
        </patternFill>
      </fill>
    </dxf>
    <dxf>
      <fill>
        <patternFill>
          <bgColor rgb="FFA162D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A162D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ill>
        <patternFill>
          <bgColor rgb="FFEFC16D"/>
        </patternFill>
      </fill>
    </dxf>
    <dxf>
      <font>
        <color rgb="FFFF0000"/>
      </font>
    </dxf>
    <dxf>
      <fill>
        <patternFill>
          <bgColor rgb="FFFF9393"/>
        </patternFill>
      </fill>
    </dxf>
    <dxf>
      <font>
        <b/>
        <i val="0"/>
        <color rgb="FF008000"/>
      </font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1F0FF"/>
      <color rgb="FFE1FFF5"/>
      <color rgb="FFFFFFAF"/>
      <color rgb="FFFFFF66"/>
      <color rgb="FF69D8FF"/>
      <color rgb="FFC2E49C"/>
      <color rgb="FFB2DE82"/>
      <color rgb="FFA162D0"/>
      <color rgb="FFFF3F9F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E79"/>
  <sheetViews>
    <sheetView showGridLines="0" tabSelected="1" zoomScale="91" zoomScaleNormal="91" zoomScaleSheetLayoutView="118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34" width="17.7109375" customWidth="1"/>
  </cols>
  <sheetData>
    <row r="1" spans="1:20" s="2" customFormat="1" ht="23.25" x14ac:dyDescent="0.35">
      <c r="A1" s="7" t="s">
        <v>207</v>
      </c>
      <c r="B1" s="2" t="s">
        <v>208</v>
      </c>
    </row>
    <row r="2" spans="1:20" s="2" customFormat="1" ht="23.25" x14ac:dyDescent="0.35">
      <c r="A2" s="7"/>
      <c r="B2" s="8" t="s">
        <v>231</v>
      </c>
    </row>
    <row r="3" spans="1:20" s="2" customFormat="1" ht="23.25" x14ac:dyDescent="0.35">
      <c r="A3" s="7"/>
      <c r="B3" s="51" t="s">
        <v>228</v>
      </c>
      <c r="C3"/>
      <c r="D3"/>
      <c r="E3"/>
      <c r="F3"/>
    </row>
    <row r="4" spans="1:20" ht="24.95" customHeight="1" x14ac:dyDescent="0.2">
      <c r="B4" s="94" t="s">
        <v>229</v>
      </c>
      <c r="C4" s="95"/>
      <c r="D4" s="95"/>
      <c r="E4" s="95"/>
      <c r="F4" s="95"/>
    </row>
    <row r="5" spans="1:20" x14ac:dyDescent="0.2">
      <c r="A5" s="161"/>
      <c r="B5" s="162"/>
      <c r="C5" s="12"/>
      <c r="D5" s="11"/>
      <c r="E5" s="11"/>
      <c r="F5" s="11"/>
      <c r="G5" s="11"/>
      <c r="H5" s="161" t="s">
        <v>29</v>
      </c>
      <c r="I5" s="11"/>
      <c r="J5" s="12"/>
    </row>
    <row r="6" spans="1:20" x14ac:dyDescent="0.2">
      <c r="A6" s="72" t="s">
        <v>39</v>
      </c>
      <c r="B6" s="122">
        <v>1.4</v>
      </c>
      <c r="C6" s="69" t="s">
        <v>86</v>
      </c>
      <c r="D6" s="9"/>
      <c r="E6" s="9"/>
      <c r="F6" s="9"/>
      <c r="G6" s="9"/>
      <c r="H6" s="20" t="s">
        <v>40</v>
      </c>
      <c r="I6" s="93">
        <v>0.31</v>
      </c>
      <c r="J6" s="19" t="s">
        <v>33</v>
      </c>
    </row>
    <row r="7" spans="1:20" x14ac:dyDescent="0.2">
      <c r="A7" s="72" t="s">
        <v>19</v>
      </c>
      <c r="B7" s="122">
        <v>12</v>
      </c>
      <c r="C7" s="69" t="s">
        <v>21</v>
      </c>
      <c r="D7" s="9"/>
      <c r="E7" s="9"/>
      <c r="F7" s="9"/>
      <c r="G7" s="9"/>
      <c r="H7" s="20" t="s">
        <v>30</v>
      </c>
      <c r="I7" s="93">
        <v>0.24</v>
      </c>
      <c r="J7" s="19" t="s">
        <v>33</v>
      </c>
      <c r="K7" s="6"/>
      <c r="L7" s="5"/>
      <c r="M7" s="4"/>
      <c r="N7" s="5"/>
      <c r="O7" s="4"/>
      <c r="P7" s="5"/>
      <c r="Q7" s="4"/>
      <c r="R7" s="4"/>
    </row>
    <row r="8" spans="1:20" x14ac:dyDescent="0.2">
      <c r="A8" s="72" t="s">
        <v>20</v>
      </c>
      <c r="B8" s="122">
        <v>40</v>
      </c>
      <c r="C8" s="69" t="s">
        <v>21</v>
      </c>
      <c r="D8" s="9"/>
      <c r="E8" s="9"/>
      <c r="F8" s="9"/>
      <c r="G8" s="9"/>
      <c r="H8" s="20" t="s">
        <v>22</v>
      </c>
      <c r="I8" s="93">
        <v>0.56000000000000005</v>
      </c>
      <c r="J8" s="19" t="s">
        <v>33</v>
      </c>
      <c r="K8" s="6"/>
      <c r="L8" s="5"/>
      <c r="M8" s="4"/>
      <c r="N8" s="5"/>
      <c r="O8" s="4"/>
      <c r="P8" s="5"/>
      <c r="Q8" s="4"/>
      <c r="R8" s="4"/>
    </row>
    <row r="9" spans="1:20" x14ac:dyDescent="0.2">
      <c r="A9" s="72" t="s">
        <v>167</v>
      </c>
      <c r="B9" s="122">
        <v>28</v>
      </c>
      <c r="C9" s="69" t="s">
        <v>21</v>
      </c>
      <c r="D9" s="9"/>
      <c r="E9" s="9"/>
      <c r="F9" s="9"/>
      <c r="G9" s="9"/>
      <c r="H9" s="13"/>
      <c r="I9" s="163"/>
      <c r="J9" s="14"/>
      <c r="K9" s="6"/>
      <c r="L9" s="5"/>
      <c r="M9" s="4"/>
      <c r="N9" s="5"/>
      <c r="O9" s="4"/>
      <c r="P9" s="5"/>
      <c r="Q9" s="4"/>
      <c r="R9" s="4"/>
    </row>
    <row r="10" spans="1:20" x14ac:dyDescent="0.2">
      <c r="A10" s="72" t="s">
        <v>103</v>
      </c>
      <c r="B10" s="122">
        <v>1000</v>
      </c>
      <c r="C10" s="68" t="s">
        <v>104</v>
      </c>
      <c r="D10" s="9"/>
      <c r="E10" s="9"/>
      <c r="F10" s="9"/>
      <c r="G10" s="9"/>
      <c r="H10" s="13"/>
      <c r="I10" s="163"/>
      <c r="J10" s="14"/>
      <c r="K10" s="6"/>
      <c r="L10" s="5"/>
      <c r="M10" s="4"/>
      <c r="N10" s="5"/>
      <c r="O10" s="4"/>
      <c r="P10" s="5"/>
      <c r="Q10" s="4"/>
      <c r="R10" s="4"/>
    </row>
    <row r="11" spans="1:20" x14ac:dyDescent="0.2">
      <c r="A11" s="138"/>
      <c r="B11" s="139"/>
      <c r="C11" s="140"/>
      <c r="D11" s="9"/>
      <c r="E11" s="9"/>
      <c r="F11" s="9"/>
      <c r="G11" s="9"/>
      <c r="H11" s="13"/>
      <c r="I11" s="163"/>
      <c r="J11" s="14"/>
      <c r="K11" s="6"/>
      <c r="L11" s="5"/>
      <c r="M11" s="4"/>
      <c r="N11" s="5"/>
      <c r="O11" s="4"/>
      <c r="P11" s="5"/>
      <c r="Q11" s="4"/>
      <c r="R11" s="4"/>
    </row>
    <row r="12" spans="1:20" x14ac:dyDescent="0.2">
      <c r="A12" s="108"/>
      <c r="B12" s="164"/>
      <c r="C12" s="16"/>
      <c r="D12" s="15"/>
      <c r="E12" s="15"/>
      <c r="F12" s="15"/>
      <c r="G12" s="15"/>
      <c r="H12" s="106"/>
      <c r="I12" s="165"/>
      <c r="J12" s="16"/>
      <c r="K12" s="6"/>
      <c r="L12" s="5"/>
      <c r="M12" s="4"/>
      <c r="N12" s="5"/>
      <c r="O12" s="4"/>
      <c r="P12" s="5"/>
      <c r="Q12" s="4"/>
      <c r="R12" s="5"/>
      <c r="S12" s="4"/>
      <c r="T12" s="4"/>
    </row>
    <row r="13" spans="1:20" x14ac:dyDescent="0.2">
      <c r="A13" s="1"/>
      <c r="K13" s="3"/>
      <c r="L13" s="6"/>
      <c r="M13" s="6"/>
      <c r="N13" s="5"/>
      <c r="O13" s="4"/>
      <c r="P13" s="5"/>
      <c r="Q13" s="4"/>
      <c r="R13" s="4"/>
    </row>
    <row r="14" spans="1:20" s="1" customFormat="1" x14ac:dyDescent="0.2">
      <c r="A14"/>
      <c r="B14" s="3"/>
      <c r="C14" s="3"/>
      <c r="D14" s="6"/>
      <c r="E14" s="6"/>
      <c r="F14" s="3"/>
      <c r="G14" s="3"/>
      <c r="H14" s="3"/>
      <c r="I14" s="3"/>
      <c r="J14" s="6"/>
      <c r="K14" s="6"/>
      <c r="L14" s="5"/>
      <c r="M14" s="4"/>
    </row>
    <row r="15" spans="1:20" s="1" customFormat="1" x14ac:dyDescent="0.2">
      <c r="A15" s="23" t="s">
        <v>0</v>
      </c>
      <c r="B15" s="24" t="s">
        <v>35</v>
      </c>
      <c r="C15" s="24" t="s">
        <v>156</v>
      </c>
      <c r="D15" s="24" t="s">
        <v>158</v>
      </c>
      <c r="E15" s="24" t="s">
        <v>213</v>
      </c>
      <c r="F15" s="24" t="s">
        <v>161</v>
      </c>
      <c r="G15" s="24" t="s">
        <v>216</v>
      </c>
      <c r="H15" s="25" t="s">
        <v>35</v>
      </c>
      <c r="I15" s="25" t="s">
        <v>156</v>
      </c>
      <c r="J15" s="25" t="s">
        <v>158</v>
      </c>
      <c r="K15" s="25" t="s">
        <v>213</v>
      </c>
      <c r="L15" s="25" t="s">
        <v>161</v>
      </c>
      <c r="M15" s="25" t="s">
        <v>216</v>
      </c>
      <c r="N15" s="25" t="s">
        <v>35</v>
      </c>
      <c r="O15" s="25" t="s">
        <v>156</v>
      </c>
      <c r="P15" s="25" t="s">
        <v>158</v>
      </c>
      <c r="Q15" s="25" t="s">
        <v>161</v>
      </c>
      <c r="R15" s="24" t="s">
        <v>163</v>
      </c>
    </row>
    <row r="16" spans="1:20" s="1" customFormat="1" x14ac:dyDescent="0.2">
      <c r="A16" s="21"/>
      <c r="B16" s="21" t="s">
        <v>223</v>
      </c>
      <c r="C16" s="21" t="s">
        <v>157</v>
      </c>
      <c r="D16" s="21" t="s">
        <v>159</v>
      </c>
      <c r="E16" s="21" t="s">
        <v>159</v>
      </c>
      <c r="F16" s="21" t="s">
        <v>162</v>
      </c>
      <c r="G16" s="21" t="s">
        <v>162</v>
      </c>
      <c r="H16" s="21" t="s">
        <v>224</v>
      </c>
      <c r="I16" s="21" t="s">
        <v>157</v>
      </c>
      <c r="J16" s="21" t="s">
        <v>159</v>
      </c>
      <c r="K16" s="21" t="s">
        <v>159</v>
      </c>
      <c r="L16" s="21" t="s">
        <v>162</v>
      </c>
      <c r="M16" s="21" t="s">
        <v>162</v>
      </c>
      <c r="N16" s="21" t="s">
        <v>225</v>
      </c>
      <c r="O16" s="21" t="s">
        <v>157</v>
      </c>
      <c r="P16" s="21" t="s">
        <v>159</v>
      </c>
      <c r="Q16" s="21" t="s">
        <v>162</v>
      </c>
      <c r="R16" s="21" t="s">
        <v>164</v>
      </c>
    </row>
    <row r="17" spans="1:57" s="1" customFormat="1" x14ac:dyDescent="0.2">
      <c r="A17" s="21"/>
      <c r="B17" s="21"/>
      <c r="C17" s="21" t="s">
        <v>91</v>
      </c>
      <c r="D17" s="21" t="s">
        <v>129</v>
      </c>
      <c r="E17" s="21" t="s">
        <v>129</v>
      </c>
      <c r="F17" s="21" t="s">
        <v>129</v>
      </c>
      <c r="G17" s="21" t="s">
        <v>129</v>
      </c>
      <c r="H17" s="21"/>
      <c r="I17" s="21" t="s">
        <v>91</v>
      </c>
      <c r="J17" s="21" t="s">
        <v>129</v>
      </c>
      <c r="K17" s="21" t="s">
        <v>129</v>
      </c>
      <c r="L17" s="21" t="s">
        <v>129</v>
      </c>
      <c r="M17" s="21" t="s">
        <v>129</v>
      </c>
      <c r="N17" s="21"/>
      <c r="O17" s="21" t="s">
        <v>91</v>
      </c>
      <c r="P17" s="21" t="s">
        <v>129</v>
      </c>
      <c r="Q17" s="21" t="s">
        <v>129</v>
      </c>
      <c r="R17" s="21" t="s">
        <v>165</v>
      </c>
    </row>
    <row r="18" spans="1:57" s="1" customFormat="1" x14ac:dyDescent="0.2">
      <c r="A18" s="21"/>
      <c r="B18" s="21"/>
      <c r="C18" s="21"/>
      <c r="D18" s="21" t="s">
        <v>160</v>
      </c>
      <c r="E18" s="21" t="s">
        <v>160</v>
      </c>
      <c r="F18" s="21" t="s">
        <v>160</v>
      </c>
      <c r="G18" s="21" t="s">
        <v>160</v>
      </c>
      <c r="H18" s="21"/>
      <c r="I18" s="21"/>
      <c r="J18" s="21" t="s">
        <v>160</v>
      </c>
      <c r="K18" s="21" t="s">
        <v>160</v>
      </c>
      <c r="L18" s="21" t="s">
        <v>160</v>
      </c>
      <c r="M18" s="21" t="s">
        <v>160</v>
      </c>
      <c r="N18" s="21"/>
      <c r="O18" s="21"/>
      <c r="P18" s="21" t="s">
        <v>160</v>
      </c>
      <c r="Q18" s="21" t="s">
        <v>160</v>
      </c>
      <c r="R18" s="21" t="s">
        <v>157</v>
      </c>
    </row>
    <row r="19" spans="1:57" s="1" customFormat="1" x14ac:dyDescent="0.2">
      <c r="A19" s="21"/>
      <c r="B19" s="21"/>
      <c r="C19" s="21"/>
      <c r="D19" s="21" t="s">
        <v>215</v>
      </c>
      <c r="E19" s="21" t="s">
        <v>214</v>
      </c>
      <c r="F19" s="21" t="s">
        <v>215</v>
      </c>
      <c r="G19" s="21" t="s">
        <v>214</v>
      </c>
      <c r="H19" s="21"/>
      <c r="I19" s="21"/>
      <c r="J19" s="21" t="s">
        <v>215</v>
      </c>
      <c r="K19" s="21" t="s">
        <v>214</v>
      </c>
      <c r="L19" s="21" t="s">
        <v>215</v>
      </c>
      <c r="M19" s="21" t="s">
        <v>214</v>
      </c>
      <c r="N19" s="21"/>
      <c r="O19" s="21"/>
      <c r="P19" s="21"/>
      <c r="Q19" s="21"/>
      <c r="R19" s="21" t="s">
        <v>129</v>
      </c>
    </row>
    <row r="20" spans="1:57" s="1" customForma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 t="s">
        <v>160</v>
      </c>
    </row>
    <row r="21" spans="1:57" s="1" customForma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57" s="1" customFormat="1" x14ac:dyDescent="0.2">
      <c r="A22" s="72" t="s">
        <v>53</v>
      </c>
      <c r="B22" s="116">
        <v>2500</v>
      </c>
      <c r="C22" s="116"/>
      <c r="D22" s="116"/>
      <c r="E22" s="116"/>
      <c r="F22" s="116"/>
      <c r="G22" s="116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57" s="1" customFormat="1" x14ac:dyDescent="0.2">
      <c r="A23" s="72" t="s">
        <v>71</v>
      </c>
      <c r="B23" s="118"/>
      <c r="C23" s="118"/>
      <c r="D23" s="118"/>
      <c r="E23" s="118"/>
      <c r="F23" s="118"/>
      <c r="G23" s="118"/>
      <c r="H23" s="119">
        <v>15000</v>
      </c>
      <c r="I23" s="119"/>
      <c r="J23" s="119"/>
      <c r="K23" s="119"/>
      <c r="L23" s="117"/>
      <c r="M23" s="117"/>
      <c r="N23" s="119">
        <v>5500</v>
      </c>
      <c r="O23" s="119"/>
      <c r="P23" s="119"/>
      <c r="Q23" s="117"/>
      <c r="R23" s="11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57" s="1" customFormat="1" x14ac:dyDescent="0.2">
      <c r="A24" s="72" t="s">
        <v>232</v>
      </c>
      <c r="B24" s="175">
        <v>120</v>
      </c>
      <c r="C24" s="175">
        <v>120</v>
      </c>
      <c r="D24" s="175">
        <v>120</v>
      </c>
      <c r="E24" s="175">
        <v>120</v>
      </c>
      <c r="F24" s="175">
        <v>120</v>
      </c>
      <c r="G24" s="175">
        <v>120</v>
      </c>
      <c r="H24" s="175">
        <v>140</v>
      </c>
      <c r="I24" s="175">
        <v>140</v>
      </c>
      <c r="J24" s="175">
        <v>140</v>
      </c>
      <c r="K24" s="175">
        <v>140</v>
      </c>
      <c r="L24" s="175">
        <v>140</v>
      </c>
      <c r="M24" s="175">
        <v>140</v>
      </c>
      <c r="N24" s="175">
        <v>120</v>
      </c>
      <c r="O24" s="175">
        <v>120</v>
      </c>
      <c r="P24" s="175">
        <v>120</v>
      </c>
      <c r="Q24" s="175">
        <v>120</v>
      </c>
      <c r="R24" s="175">
        <v>120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57" s="1" customFormat="1" x14ac:dyDescent="0.2">
      <c r="A25" s="36"/>
      <c r="B25" s="156"/>
      <c r="C25" s="156"/>
      <c r="D25" s="156"/>
      <c r="E25" s="156"/>
      <c r="F25" s="156"/>
      <c r="G25" s="156"/>
      <c r="H25" s="160"/>
      <c r="I25" s="160"/>
      <c r="J25" s="160"/>
      <c r="K25" s="160"/>
      <c r="L25" s="158"/>
      <c r="M25" s="158"/>
      <c r="N25" s="160"/>
      <c r="O25" s="160"/>
      <c r="P25" s="160"/>
      <c r="Q25" s="158"/>
      <c r="R25" s="158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57" s="1" customFormat="1" x14ac:dyDescent="0.2">
      <c r="A26" s="72" t="s">
        <v>211</v>
      </c>
      <c r="B26" s="118"/>
      <c r="C26" s="149">
        <v>1</v>
      </c>
      <c r="D26" s="149">
        <v>10.600000000000001</v>
      </c>
      <c r="E26" s="149">
        <v>10.600000000000001</v>
      </c>
      <c r="F26" s="149">
        <v>10.600000000000001</v>
      </c>
      <c r="G26" s="149">
        <v>10.600000000000001</v>
      </c>
      <c r="H26" s="150"/>
      <c r="I26" s="149">
        <v>2</v>
      </c>
      <c r="J26" s="149">
        <v>7.3</v>
      </c>
      <c r="K26" s="149">
        <v>7.3</v>
      </c>
      <c r="L26" s="149">
        <v>7.3</v>
      </c>
      <c r="M26" s="149">
        <v>7.3</v>
      </c>
      <c r="N26" s="150"/>
      <c r="O26" s="151">
        <v>2</v>
      </c>
      <c r="P26" s="151">
        <v>2.8000000000000003</v>
      </c>
      <c r="Q26" s="151">
        <v>2.8000000000000003</v>
      </c>
      <c r="R26" s="151">
        <v>2.8000000000000003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57" s="1" customFormat="1" x14ac:dyDescent="0.2">
      <c r="A27" s="152" t="s">
        <v>222</v>
      </c>
      <c r="B27" s="153"/>
      <c r="C27" s="153"/>
      <c r="D27" s="153">
        <v>214</v>
      </c>
      <c r="E27" s="153">
        <v>207</v>
      </c>
      <c r="F27" s="153"/>
      <c r="G27" s="153"/>
      <c r="H27" s="154"/>
      <c r="I27" s="153"/>
      <c r="J27" s="153">
        <v>148</v>
      </c>
      <c r="K27" s="153">
        <v>142</v>
      </c>
      <c r="L27" s="153"/>
      <c r="M27" s="153"/>
      <c r="N27" s="154"/>
      <c r="O27" s="155"/>
      <c r="P27" s="155">
        <v>57</v>
      </c>
      <c r="Q27" s="155"/>
      <c r="R27" s="155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57" s="1" customFormat="1" x14ac:dyDescent="0.2">
      <c r="A28" s="72" t="s">
        <v>212</v>
      </c>
      <c r="B28" s="118"/>
      <c r="C28" s="141">
        <v>3</v>
      </c>
      <c r="D28" s="141">
        <v>4.5</v>
      </c>
      <c r="E28" s="141">
        <v>4</v>
      </c>
      <c r="F28" s="141">
        <v>4</v>
      </c>
      <c r="G28" s="141">
        <v>3.5</v>
      </c>
      <c r="H28" s="142"/>
      <c r="I28" s="141">
        <v>3</v>
      </c>
      <c r="J28" s="141">
        <v>4.5</v>
      </c>
      <c r="K28" s="141">
        <v>4</v>
      </c>
      <c r="L28" s="141">
        <v>4</v>
      </c>
      <c r="M28" s="141">
        <v>3.5</v>
      </c>
      <c r="N28" s="142"/>
      <c r="O28" s="143">
        <v>3</v>
      </c>
      <c r="P28" s="143">
        <v>4.5</v>
      </c>
      <c r="Q28" s="143">
        <v>4</v>
      </c>
      <c r="R28" s="143">
        <v>4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57" s="1" customFormat="1" x14ac:dyDescent="0.2">
      <c r="A29" s="72" t="s">
        <v>90</v>
      </c>
      <c r="B29" s="118"/>
      <c r="C29" s="120"/>
      <c r="D29" s="120">
        <v>35</v>
      </c>
      <c r="E29" s="120">
        <v>55</v>
      </c>
      <c r="F29" s="120">
        <v>35</v>
      </c>
      <c r="G29" s="120">
        <v>55</v>
      </c>
      <c r="H29" s="117"/>
      <c r="I29" s="120"/>
      <c r="J29" s="120">
        <v>35</v>
      </c>
      <c r="K29" s="120">
        <v>55</v>
      </c>
      <c r="L29" s="120">
        <v>35</v>
      </c>
      <c r="M29" s="120">
        <v>55</v>
      </c>
      <c r="N29" s="117"/>
      <c r="O29" s="121"/>
      <c r="P29" s="121">
        <v>35</v>
      </c>
      <c r="Q29" s="121">
        <v>35</v>
      </c>
      <c r="R29" s="121">
        <v>35</v>
      </c>
    </row>
    <row r="30" spans="1:57" s="1" customFormat="1" x14ac:dyDescent="0.2">
      <c r="A30" s="36"/>
      <c r="B30" s="156"/>
      <c r="C30" s="157"/>
      <c r="D30" s="157"/>
      <c r="E30" s="157"/>
      <c r="F30" s="157"/>
      <c r="G30" s="157"/>
      <c r="H30" s="158"/>
      <c r="I30" s="157"/>
      <c r="J30" s="157"/>
      <c r="K30" s="157"/>
      <c r="L30" s="157"/>
      <c r="M30" s="157"/>
      <c r="N30" s="158"/>
      <c r="O30" s="159"/>
      <c r="P30" s="159"/>
      <c r="Q30" s="159"/>
      <c r="R30" s="159"/>
    </row>
    <row r="31" spans="1:57" s="1" customFormat="1" x14ac:dyDescent="0.2">
      <c r="A31" s="72" t="s">
        <v>7</v>
      </c>
      <c r="B31" s="87"/>
      <c r="C31" s="87">
        <v>4000</v>
      </c>
      <c r="D31" s="87">
        <v>30000</v>
      </c>
      <c r="E31" s="87">
        <v>30000</v>
      </c>
      <c r="F31" s="87">
        <v>35000</v>
      </c>
      <c r="G31" s="87">
        <v>35000</v>
      </c>
      <c r="H31" s="87"/>
      <c r="I31" s="87">
        <v>4000</v>
      </c>
      <c r="J31" s="87">
        <v>21000</v>
      </c>
      <c r="K31" s="87">
        <v>21000</v>
      </c>
      <c r="L31" s="87">
        <v>26000</v>
      </c>
      <c r="M31" s="87">
        <v>26000</v>
      </c>
      <c r="N31" s="87"/>
      <c r="O31" s="87">
        <v>4000</v>
      </c>
      <c r="P31" s="87">
        <v>10000</v>
      </c>
      <c r="Q31" s="87">
        <v>15000</v>
      </c>
      <c r="R31" s="87">
        <v>10000</v>
      </c>
    </row>
    <row r="32" spans="1:57" s="1" customFormat="1" x14ac:dyDescent="0.2">
      <c r="A32" s="72" t="s">
        <v>220</v>
      </c>
      <c r="B32" s="87"/>
      <c r="C32" s="87"/>
      <c r="D32" s="87">
        <f>10*ROUND(D27*11.8,0)</f>
        <v>25250</v>
      </c>
      <c r="E32" s="87">
        <f>10*ROUND(E27*11.8,0)</f>
        <v>24430</v>
      </c>
      <c r="F32" s="87"/>
      <c r="G32" s="87"/>
      <c r="H32" s="87"/>
      <c r="I32" s="87"/>
      <c r="J32" s="87">
        <f>10*ROUND(J27*11.8,0)</f>
        <v>17460</v>
      </c>
      <c r="K32" s="87">
        <f>10*ROUND(K27*11.8,0)</f>
        <v>16760</v>
      </c>
      <c r="L32" s="87"/>
      <c r="M32" s="87"/>
      <c r="N32" s="87"/>
      <c r="O32" s="87"/>
      <c r="P32" s="87">
        <f>10*ROUND(P27*11.8,0)</f>
        <v>6730</v>
      </c>
      <c r="Q32" s="87"/>
      <c r="R32" s="87"/>
    </row>
    <row r="33" spans="1:18" s="1" customFormat="1" x14ac:dyDescent="0.2">
      <c r="A33" s="72" t="s">
        <v>38</v>
      </c>
      <c r="B33" s="87"/>
      <c r="C33" s="87"/>
      <c r="D33" s="87">
        <v>-9330</v>
      </c>
      <c r="E33" s="87">
        <v>-9330</v>
      </c>
      <c r="F33" s="87">
        <v>-9330</v>
      </c>
      <c r="G33" s="87">
        <v>-9330</v>
      </c>
      <c r="H33" s="87"/>
      <c r="I33" s="87"/>
      <c r="J33" s="87">
        <v>-8000</v>
      </c>
      <c r="K33" s="87">
        <v>-8000</v>
      </c>
      <c r="L33" s="87">
        <v>-8000</v>
      </c>
      <c r="M33" s="87">
        <v>-8000</v>
      </c>
      <c r="N33" s="87"/>
      <c r="O33" s="87"/>
      <c r="P33" s="87">
        <v>-6000</v>
      </c>
      <c r="Q33" s="87">
        <v>-6000</v>
      </c>
      <c r="R33" s="87">
        <v>-6000</v>
      </c>
    </row>
    <row r="34" spans="1:18" s="1" customFormat="1" x14ac:dyDescent="0.2">
      <c r="A34" s="72" t="s">
        <v>36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</row>
    <row r="35" spans="1:18" s="1" customFormat="1" x14ac:dyDescent="0.2">
      <c r="A35" s="72" t="s">
        <v>37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</row>
    <row r="36" spans="1:18" s="1" customFormat="1" x14ac:dyDescent="0.2">
      <c r="A36" s="72" t="s">
        <v>6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</row>
    <row r="37" spans="1:18" s="1" customFormat="1" x14ac:dyDescent="0.2">
      <c r="A37" s="72" t="s">
        <v>11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</row>
    <row r="38" spans="1:18" s="1" customFormat="1" x14ac:dyDescent="0.2">
      <c r="A38" s="72" t="s">
        <v>8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</row>
    <row r="39" spans="1:18" s="1" customFormat="1" x14ac:dyDescent="0.2">
      <c r="A39" s="72" t="s">
        <v>9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</row>
    <row r="40" spans="1:18" s="1" customFormat="1" x14ac:dyDescent="0.2">
      <c r="A40" s="72" t="s">
        <v>10</v>
      </c>
      <c r="B40" s="87"/>
      <c r="C40" s="87"/>
      <c r="D40" s="87">
        <v>6000</v>
      </c>
      <c r="E40" s="87"/>
      <c r="F40" s="87">
        <v>6000</v>
      </c>
      <c r="G40" s="87"/>
      <c r="H40" s="87"/>
      <c r="I40" s="87"/>
      <c r="J40" s="87">
        <v>6000</v>
      </c>
      <c r="K40" s="87"/>
      <c r="L40" s="87">
        <v>6000</v>
      </c>
      <c r="M40" s="87"/>
      <c r="N40" s="87"/>
      <c r="O40" s="87"/>
      <c r="P40" s="87"/>
      <c r="Q40" s="87"/>
      <c r="R40" s="87"/>
    </row>
    <row r="41" spans="1:18" x14ac:dyDescent="0.2">
      <c r="A41" s="88" t="s">
        <v>12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8" x14ac:dyDescent="0.2">
      <c r="A42" s="28" t="s">
        <v>1</v>
      </c>
      <c r="B42" s="29">
        <f>SUM(B31:B41)</f>
        <v>0</v>
      </c>
      <c r="C42" s="29">
        <f>SUM(C31:C41)</f>
        <v>4000</v>
      </c>
      <c r="D42" s="29">
        <f t="shared" ref="D42:G42" si="0">SUM(D31:D41)</f>
        <v>51920</v>
      </c>
      <c r="E42" s="29">
        <f>SUM(E31:E41)</f>
        <v>45100</v>
      </c>
      <c r="F42" s="29">
        <f t="shared" si="0"/>
        <v>31670</v>
      </c>
      <c r="G42" s="29">
        <f t="shared" si="0"/>
        <v>25670</v>
      </c>
      <c r="H42" s="29">
        <v>0</v>
      </c>
      <c r="I42" s="29">
        <f t="shared" ref="I42:L42" si="1">SUM(I31:I41)</f>
        <v>4000</v>
      </c>
      <c r="J42" s="29">
        <f t="shared" si="1"/>
        <v>36460</v>
      </c>
      <c r="K42" s="29">
        <f t="shared" ref="K42" si="2">SUM(K31:K41)</f>
        <v>29760</v>
      </c>
      <c r="L42" s="29">
        <f t="shared" si="1"/>
        <v>24000</v>
      </c>
      <c r="M42" s="29">
        <f t="shared" ref="M42" si="3">SUM(M31:M41)</f>
        <v>18000</v>
      </c>
      <c r="N42" s="29">
        <f t="shared" ref="N42" si="4">SUM(N31:N41)</f>
        <v>0</v>
      </c>
      <c r="O42" s="29">
        <f>SUM(O31:O41)</f>
        <v>4000</v>
      </c>
      <c r="P42" s="29">
        <f t="shared" ref="P42:R42" si="5">SUM(P31:P41)</f>
        <v>10730</v>
      </c>
      <c r="Q42" s="29">
        <f t="shared" si="5"/>
        <v>9000</v>
      </c>
      <c r="R42" s="29">
        <f t="shared" si="5"/>
        <v>4000</v>
      </c>
    </row>
    <row r="43" spans="1:18" x14ac:dyDescent="0.2">
      <c r="A43" s="23" t="s">
        <v>61</v>
      </c>
      <c r="B43" s="92"/>
      <c r="C43" s="92">
        <v>0</v>
      </c>
      <c r="D43" s="92">
        <v>30000</v>
      </c>
      <c r="E43" s="92">
        <v>30000</v>
      </c>
      <c r="F43" s="92">
        <v>30000</v>
      </c>
      <c r="G43" s="92">
        <v>30000</v>
      </c>
      <c r="H43" s="92"/>
      <c r="I43" s="92">
        <v>0</v>
      </c>
      <c r="J43" s="92">
        <v>30000</v>
      </c>
      <c r="K43" s="92">
        <v>30000</v>
      </c>
      <c r="L43" s="92">
        <v>30000</v>
      </c>
      <c r="M43" s="92">
        <f t="shared" ref="M43" si="6">M42-M33</f>
        <v>26000</v>
      </c>
      <c r="N43" s="92"/>
      <c r="O43" s="92">
        <v>0</v>
      </c>
      <c r="P43" s="92">
        <v>0</v>
      </c>
      <c r="Q43" s="92">
        <v>0</v>
      </c>
      <c r="R43" s="92">
        <v>0</v>
      </c>
    </row>
    <row r="44" spans="1:18" x14ac:dyDescent="0.2">
      <c r="A44" s="23" t="s">
        <v>62</v>
      </c>
      <c r="B44" s="92"/>
      <c r="C44" s="92">
        <v>0</v>
      </c>
      <c r="D44" s="92">
        <v>21000</v>
      </c>
      <c r="E44" s="92">
        <v>21000</v>
      </c>
      <c r="F44" s="92">
        <v>21000</v>
      </c>
      <c r="G44" s="92">
        <v>21000</v>
      </c>
      <c r="H44" s="92"/>
      <c r="I44" s="92">
        <f>I43*0.25</f>
        <v>0</v>
      </c>
      <c r="J44" s="92">
        <v>21000</v>
      </c>
      <c r="K44" s="92">
        <v>21000</v>
      </c>
      <c r="L44" s="92">
        <v>21000</v>
      </c>
      <c r="M44" s="92">
        <v>18200</v>
      </c>
      <c r="N44" s="92"/>
      <c r="O44" s="92">
        <v>0</v>
      </c>
      <c r="P44" s="92">
        <v>0</v>
      </c>
      <c r="Q44" s="92">
        <v>0</v>
      </c>
      <c r="R44" s="92">
        <v>0</v>
      </c>
    </row>
    <row r="45" spans="1:18" x14ac:dyDescent="0.2">
      <c r="A45" s="23" t="s">
        <v>63</v>
      </c>
      <c r="B45" s="92"/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/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/>
      <c r="O45" s="92">
        <v>0</v>
      </c>
      <c r="P45" s="92">
        <v>0</v>
      </c>
      <c r="Q45" s="92">
        <v>0</v>
      </c>
      <c r="R45" s="92">
        <v>0</v>
      </c>
    </row>
    <row r="46" spans="1:18" x14ac:dyDescent="0.2">
      <c r="A46" s="32" t="s">
        <v>5</v>
      </c>
      <c r="B46" s="30"/>
      <c r="C46" s="30">
        <f>C44</f>
        <v>0</v>
      </c>
      <c r="D46" s="30">
        <f t="shared" ref="D46:G46" si="7">D44</f>
        <v>21000</v>
      </c>
      <c r="E46" s="30">
        <f t="shared" si="7"/>
        <v>21000</v>
      </c>
      <c r="F46" s="30">
        <f t="shared" si="7"/>
        <v>21000</v>
      </c>
      <c r="G46" s="30">
        <f t="shared" si="7"/>
        <v>21000</v>
      </c>
      <c r="H46" s="30"/>
      <c r="I46" s="30">
        <f>I44+I45</f>
        <v>0</v>
      </c>
      <c r="J46" s="30">
        <f t="shared" ref="J46:L46" si="8">J44+J45</f>
        <v>21000</v>
      </c>
      <c r="K46" s="30">
        <f t="shared" ref="K46" si="9">K44+K45</f>
        <v>21000</v>
      </c>
      <c r="L46" s="30">
        <f t="shared" si="8"/>
        <v>21000</v>
      </c>
      <c r="M46" s="30">
        <f t="shared" ref="M46" si="10">M44+M45</f>
        <v>18200</v>
      </c>
      <c r="N46" s="30"/>
      <c r="O46" s="30">
        <v>0</v>
      </c>
      <c r="P46" s="30">
        <v>0</v>
      </c>
      <c r="Q46" s="30">
        <f t="shared" ref="Q46" si="11">Q44+Q45</f>
        <v>0</v>
      </c>
      <c r="R46" s="30">
        <v>0</v>
      </c>
    </row>
    <row r="47" spans="1:18" x14ac:dyDescent="0.2">
      <c r="A47" s="21" t="s">
        <v>13</v>
      </c>
      <c r="B47" s="22">
        <f t="shared" ref="B47:C47" si="12">B42-B46</f>
        <v>0</v>
      </c>
      <c r="C47" s="22">
        <f t="shared" si="12"/>
        <v>4000</v>
      </c>
      <c r="D47" s="22">
        <f t="shared" ref="D47:G47" si="13">D42-D46</f>
        <v>30920</v>
      </c>
      <c r="E47" s="22">
        <f t="shared" si="13"/>
        <v>24100</v>
      </c>
      <c r="F47" s="22">
        <f t="shared" si="13"/>
        <v>10670</v>
      </c>
      <c r="G47" s="22">
        <f t="shared" si="13"/>
        <v>4670</v>
      </c>
      <c r="H47" s="22">
        <v>0</v>
      </c>
      <c r="I47" s="22">
        <f>I42-I46</f>
        <v>4000</v>
      </c>
      <c r="J47" s="22">
        <f t="shared" ref="J47:L47" si="14">J42-J46</f>
        <v>15460</v>
      </c>
      <c r="K47" s="22">
        <f t="shared" ref="K47" si="15">K42-K46</f>
        <v>8760</v>
      </c>
      <c r="L47" s="22">
        <f t="shared" si="14"/>
        <v>3000</v>
      </c>
      <c r="M47" s="22">
        <f t="shared" ref="M47" si="16">M42-M46</f>
        <v>-200</v>
      </c>
      <c r="N47" s="22">
        <f t="shared" ref="N47:R47" si="17">N42-N46</f>
        <v>0</v>
      </c>
      <c r="O47" s="22">
        <f t="shared" si="17"/>
        <v>4000</v>
      </c>
      <c r="P47" s="22">
        <f t="shared" si="17"/>
        <v>10730</v>
      </c>
      <c r="Q47" s="22">
        <f t="shared" si="17"/>
        <v>9000</v>
      </c>
      <c r="R47" s="22">
        <f t="shared" si="17"/>
        <v>4000</v>
      </c>
    </row>
    <row r="48" spans="1:18" x14ac:dyDescent="0.2">
      <c r="A48" s="28" t="s">
        <v>45</v>
      </c>
      <c r="B48" s="29">
        <v>0</v>
      </c>
      <c r="C48" s="29">
        <f>C47</f>
        <v>4000</v>
      </c>
      <c r="D48" s="29">
        <f t="shared" ref="D48:G48" si="18">D47</f>
        <v>30920</v>
      </c>
      <c r="E48" s="29">
        <f t="shared" si="18"/>
        <v>24100</v>
      </c>
      <c r="F48" s="29">
        <f t="shared" si="18"/>
        <v>10670</v>
      </c>
      <c r="G48" s="29">
        <f t="shared" si="18"/>
        <v>4670</v>
      </c>
      <c r="H48" s="29">
        <f t="shared" ref="H48" si="19">H47-$B$47</f>
        <v>0</v>
      </c>
      <c r="I48" s="29">
        <f>I47</f>
        <v>4000</v>
      </c>
      <c r="J48" s="29">
        <f t="shared" ref="J48:L48" si="20">J47</f>
        <v>15460</v>
      </c>
      <c r="K48" s="29">
        <f t="shared" ref="K48" si="21">K47</f>
        <v>8760</v>
      </c>
      <c r="L48" s="29">
        <f t="shared" si="20"/>
        <v>3000</v>
      </c>
      <c r="M48" s="29">
        <f t="shared" ref="M48" si="22">M47</f>
        <v>-200</v>
      </c>
      <c r="N48" s="29">
        <f>N47-$B$42</f>
        <v>0</v>
      </c>
      <c r="O48" s="29">
        <f>O47-$N$47</f>
        <v>4000</v>
      </c>
      <c r="P48" s="29">
        <f t="shared" ref="P48:R48" si="23">P47-$N$47</f>
        <v>10730</v>
      </c>
      <c r="Q48" s="29">
        <f t="shared" si="23"/>
        <v>9000</v>
      </c>
      <c r="R48" s="29">
        <f t="shared" si="23"/>
        <v>4000</v>
      </c>
    </row>
    <row r="49" spans="1:18" x14ac:dyDescent="0.2">
      <c r="A49" s="34" t="s">
        <v>66</v>
      </c>
      <c r="B49" s="35">
        <v>17520</v>
      </c>
      <c r="C49" s="35">
        <f>B49</f>
        <v>17520</v>
      </c>
      <c r="D49" s="35">
        <f t="shared" ref="D49:E49" si="24">C49</f>
        <v>17520</v>
      </c>
      <c r="E49" s="35">
        <f t="shared" si="24"/>
        <v>17520</v>
      </c>
      <c r="F49" s="35">
        <f>D49</f>
        <v>17520</v>
      </c>
      <c r="G49" s="35">
        <f>E49</f>
        <v>17520</v>
      </c>
      <c r="H49" s="35">
        <v>9900</v>
      </c>
      <c r="I49" s="35">
        <v>9900</v>
      </c>
      <c r="J49" s="35">
        <v>9900</v>
      </c>
      <c r="K49" s="35">
        <v>9900</v>
      </c>
      <c r="L49" s="35">
        <v>9900</v>
      </c>
      <c r="M49" s="35">
        <v>9900</v>
      </c>
      <c r="N49" s="35">
        <v>1800</v>
      </c>
      <c r="O49" s="35">
        <v>1800</v>
      </c>
      <c r="P49" s="35">
        <v>1800</v>
      </c>
      <c r="Q49" s="35">
        <v>1800</v>
      </c>
      <c r="R49" s="35">
        <v>1800</v>
      </c>
    </row>
    <row r="50" spans="1:18" x14ac:dyDescent="0.2">
      <c r="A50" s="82" t="s">
        <v>67</v>
      </c>
      <c r="B50" s="101">
        <v>1600</v>
      </c>
      <c r="C50" s="101">
        <f>B50</f>
        <v>1600</v>
      </c>
      <c r="D50" s="101">
        <f t="shared" ref="D50:E50" si="25">C50</f>
        <v>1600</v>
      </c>
      <c r="E50" s="101">
        <f t="shared" si="25"/>
        <v>1600</v>
      </c>
      <c r="F50" s="101">
        <f>D50</f>
        <v>1600</v>
      </c>
      <c r="G50" s="101">
        <f>E50</f>
        <v>1600</v>
      </c>
      <c r="H50" s="101">
        <v>3200</v>
      </c>
      <c r="I50" s="101">
        <v>3200</v>
      </c>
      <c r="J50" s="101">
        <v>3200</v>
      </c>
      <c r="K50" s="101">
        <v>3200</v>
      </c>
      <c r="L50" s="101">
        <v>3200</v>
      </c>
      <c r="M50" s="101">
        <v>3200</v>
      </c>
      <c r="N50" s="101">
        <v>3200</v>
      </c>
      <c r="O50" s="101">
        <v>3200</v>
      </c>
      <c r="P50" s="101">
        <v>3200</v>
      </c>
      <c r="Q50" s="101">
        <v>3200</v>
      </c>
      <c r="R50" s="101">
        <v>3200</v>
      </c>
    </row>
    <row r="51" spans="1:18" x14ac:dyDescent="0.2">
      <c r="A51" s="82" t="s">
        <v>98</v>
      </c>
      <c r="B51" s="115">
        <v>2500</v>
      </c>
      <c r="C51" s="115">
        <f>10*ROUND((B51-4600/10.6)/10,0)</f>
        <v>2070</v>
      </c>
      <c r="D51" s="115">
        <v>0</v>
      </c>
      <c r="E51" s="115">
        <v>0</v>
      </c>
      <c r="F51" s="115">
        <v>0</v>
      </c>
      <c r="G51" s="115">
        <v>0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1:18" x14ac:dyDescent="0.2">
      <c r="A52" s="36" t="s">
        <v>80</v>
      </c>
      <c r="B52" s="37"/>
      <c r="C52" s="37"/>
      <c r="D52" s="37"/>
      <c r="E52" s="37"/>
      <c r="F52" s="37"/>
      <c r="G52" s="37"/>
      <c r="H52" s="37">
        <v>15000</v>
      </c>
      <c r="I52" s="37">
        <f>H52-I50-800</f>
        <v>11000</v>
      </c>
      <c r="J52" s="37">
        <v>0</v>
      </c>
      <c r="K52" s="37">
        <v>0</v>
      </c>
      <c r="L52" s="37">
        <v>0</v>
      </c>
      <c r="M52" s="37">
        <v>0</v>
      </c>
      <c r="N52" s="37">
        <v>5500</v>
      </c>
      <c r="O52" s="37">
        <f>N52-O50-800</f>
        <v>1500</v>
      </c>
      <c r="P52" s="37">
        <v>0</v>
      </c>
      <c r="Q52" s="37">
        <v>0</v>
      </c>
      <c r="R52" s="37">
        <v>0</v>
      </c>
    </row>
    <row r="53" spans="1:18" x14ac:dyDescent="0.2">
      <c r="A53" s="36" t="s">
        <v>44</v>
      </c>
      <c r="B53" s="37">
        <v>4000</v>
      </c>
      <c r="C53" s="37">
        <f>B53</f>
        <v>4000</v>
      </c>
      <c r="D53" s="37">
        <f t="shared" ref="D53:E53" si="26">C53</f>
        <v>4000</v>
      </c>
      <c r="E53" s="37">
        <f t="shared" si="26"/>
        <v>4000</v>
      </c>
      <c r="F53" s="37">
        <f>D53</f>
        <v>4000</v>
      </c>
      <c r="G53" s="37">
        <f>E53</f>
        <v>4000</v>
      </c>
      <c r="H53" s="37">
        <v>3000</v>
      </c>
      <c r="I53" s="37">
        <v>3000</v>
      </c>
      <c r="J53" s="37">
        <v>3000</v>
      </c>
      <c r="K53" s="37">
        <v>3000</v>
      </c>
      <c r="L53" s="37">
        <v>3000</v>
      </c>
      <c r="M53" s="37">
        <v>3000</v>
      </c>
      <c r="N53" s="37">
        <v>3000</v>
      </c>
      <c r="O53" s="37">
        <v>3000</v>
      </c>
      <c r="P53" s="37">
        <v>3000</v>
      </c>
      <c r="Q53" s="37">
        <v>3000</v>
      </c>
      <c r="R53" s="37">
        <v>3000</v>
      </c>
    </row>
    <row r="54" spans="1:18" x14ac:dyDescent="0.2">
      <c r="A54" s="36" t="s">
        <v>210</v>
      </c>
      <c r="B54" s="37"/>
      <c r="C54" s="37">
        <f>10*ROUND(1.5*B50/C28/10,0)</f>
        <v>800</v>
      </c>
      <c r="D54" s="37">
        <f>10*ROUND((D49+D50)/(D28*10),0)</f>
        <v>4250</v>
      </c>
      <c r="E54" s="37">
        <f>10*ROUND((E49+E50)/(E28*10),0)</f>
        <v>4780</v>
      </c>
      <c r="F54" s="37">
        <f t="shared" ref="F54:G54" si="27">10*ROUND((F49+F50)/(F28*10),0)</f>
        <v>4780</v>
      </c>
      <c r="G54" s="37">
        <f t="shared" si="27"/>
        <v>5460</v>
      </c>
      <c r="H54" s="37"/>
      <c r="I54" s="37">
        <v>1230</v>
      </c>
      <c r="J54" s="37">
        <f t="shared" ref="J54:M54" si="28">10*ROUND((J49+J50)/(J28*10),0)</f>
        <v>2910</v>
      </c>
      <c r="K54" s="37">
        <f t="shared" si="28"/>
        <v>3280</v>
      </c>
      <c r="L54" s="37">
        <f t="shared" si="28"/>
        <v>3280</v>
      </c>
      <c r="M54" s="37">
        <f t="shared" si="28"/>
        <v>3740</v>
      </c>
      <c r="N54" s="37"/>
      <c r="O54" s="37">
        <v>1230</v>
      </c>
      <c r="P54" s="37">
        <f t="shared" ref="P54:R54" si="29">10*ROUND((P49+P50)/(P28*10),0)</f>
        <v>1110</v>
      </c>
      <c r="Q54" s="37">
        <f t="shared" si="29"/>
        <v>1250</v>
      </c>
      <c r="R54" s="37">
        <f t="shared" si="29"/>
        <v>1250</v>
      </c>
    </row>
    <row r="55" spans="1:18" x14ac:dyDescent="0.2">
      <c r="A55" s="36" t="s">
        <v>18</v>
      </c>
      <c r="B55" s="37">
        <f>10.6*B22+B53</f>
        <v>30500</v>
      </c>
      <c r="C55" s="37">
        <f>10*ROUND((10.6*B22-4600+C53+C54)/10,0)</f>
        <v>26700</v>
      </c>
      <c r="D55" s="37">
        <f>10*ROUND((10.6*D51+D53+D54)/10,0)</f>
        <v>8250</v>
      </c>
      <c r="E55" s="37">
        <f>10*ROUND((10.6*E51+E53+E54)/10,0)</f>
        <v>8780</v>
      </c>
      <c r="F55" s="37">
        <f t="shared" ref="F55:G55" si="30">10*ROUND((10.6*F51+F53+F54)/10,0)</f>
        <v>8780</v>
      </c>
      <c r="G55" s="37">
        <f t="shared" si="30"/>
        <v>9460</v>
      </c>
      <c r="H55" s="37">
        <v>18000</v>
      </c>
      <c r="I55" s="37">
        <f>10*ROUND((I52+I53+I54)/10,0)</f>
        <v>15230</v>
      </c>
      <c r="J55" s="37">
        <f t="shared" ref="J55" si="31">10*ROUND((10.6*J51+J53+J54)/10,0)</f>
        <v>5910</v>
      </c>
      <c r="K55" s="37">
        <f t="shared" ref="K55" si="32">10*ROUND((10.6*K51+K53+K54)/10,0)</f>
        <v>6280</v>
      </c>
      <c r="L55" s="37">
        <f t="shared" ref="L55" si="33">10*ROUND((10.6*L51+L53+L54)/10,0)</f>
        <v>6280</v>
      </c>
      <c r="M55" s="37">
        <f t="shared" ref="M55" si="34">10*ROUND((10.6*M51+M53+M54)/10,0)</f>
        <v>6740</v>
      </c>
      <c r="N55" s="37">
        <v>8500</v>
      </c>
      <c r="O55" s="37">
        <f>O52+O53+O54</f>
        <v>5730</v>
      </c>
      <c r="P55" s="37">
        <f t="shared" ref="P55" si="35">10*ROUND((10.6*P51+P53+P54)/10,0)</f>
        <v>4110</v>
      </c>
      <c r="Q55" s="37">
        <f t="shared" ref="Q55" si="36">10*ROUND((10.6*Q51+Q53+Q54)/10,0)</f>
        <v>4250</v>
      </c>
      <c r="R55" s="37">
        <f t="shared" ref="R55" si="37">10*ROUND((10.6*R51+R53+R54)/10,0)</f>
        <v>4250</v>
      </c>
    </row>
    <row r="56" spans="1:18" x14ac:dyDescent="0.2">
      <c r="A56" s="36" t="s">
        <v>41</v>
      </c>
      <c r="B56" s="38">
        <f>10*ROUND((100*B22*$B$6+B53*$B$8)/1000,0)</f>
        <v>5100</v>
      </c>
      <c r="C56" s="38">
        <f>10*ROUND((100*C51*$B$6+C53*$B$8+C54*$B$9)/1000,0)</f>
        <v>4720</v>
      </c>
      <c r="D56" s="38">
        <f>10*ROUND((100*D51*$B$6+D53*$B$8+D54*$B$9)/1000,0)</f>
        <v>2790</v>
      </c>
      <c r="E56" s="38">
        <f>10*ROUND((100*E51*$B$6+E53*$B$8+E54*$B$9)/1000,0)</f>
        <v>2940</v>
      </c>
      <c r="F56" s="38">
        <f t="shared" ref="F56:G56" si="38">10*ROUND((100*F51*$B$6+F53*$B$8+F54*$B$9)/1000,0)</f>
        <v>2940</v>
      </c>
      <c r="G56" s="38">
        <f t="shared" si="38"/>
        <v>3130</v>
      </c>
      <c r="H56" s="38">
        <v>3000</v>
      </c>
      <c r="I56" s="38">
        <f>10*ROUND((I52*$B$7+I53*$B$8+I54*$B$9)/1000,0)</f>
        <v>2860</v>
      </c>
      <c r="J56" s="38">
        <f t="shared" ref="J56:M56" si="39">10*ROUND((100*J51*$B$6+J53*$B$8+J54*$B$9)/1000,0)</f>
        <v>2010</v>
      </c>
      <c r="K56" s="38">
        <f t="shared" si="39"/>
        <v>2120</v>
      </c>
      <c r="L56" s="38">
        <f t="shared" si="39"/>
        <v>2120</v>
      </c>
      <c r="M56" s="38">
        <f t="shared" si="39"/>
        <v>2250</v>
      </c>
      <c r="N56" s="38">
        <v>1860</v>
      </c>
      <c r="O56" s="38">
        <f>10*ROUND((O52*$B$7+O53*$B$8+O54*$B$9)/1000,0)</f>
        <v>1720</v>
      </c>
      <c r="P56" s="38">
        <f t="shared" ref="P56:R56" si="40">10*ROUND((100*P51*$B$6+P53*$B$8+P54*$B$9)/1000,0)</f>
        <v>1510</v>
      </c>
      <c r="Q56" s="38">
        <f t="shared" si="40"/>
        <v>1550</v>
      </c>
      <c r="R56" s="38">
        <f t="shared" si="40"/>
        <v>1550</v>
      </c>
    </row>
    <row r="57" spans="1:18" x14ac:dyDescent="0.2">
      <c r="A57" s="33" t="s">
        <v>42</v>
      </c>
      <c r="B57" s="31">
        <v>200</v>
      </c>
      <c r="C57" s="31">
        <v>230</v>
      </c>
      <c r="D57" s="31">
        <v>50</v>
      </c>
      <c r="E57" s="31">
        <v>50</v>
      </c>
      <c r="F57" s="31">
        <v>50</v>
      </c>
      <c r="G57" s="31">
        <v>50</v>
      </c>
      <c r="H57" s="31">
        <v>150</v>
      </c>
      <c r="I57" s="31">
        <v>180</v>
      </c>
      <c r="J57" s="31">
        <v>50</v>
      </c>
      <c r="K57" s="31">
        <v>50</v>
      </c>
      <c r="L57" s="31">
        <v>50</v>
      </c>
      <c r="M57" s="31">
        <v>50</v>
      </c>
      <c r="N57" s="144">
        <v>150</v>
      </c>
      <c r="O57" s="31">
        <v>180</v>
      </c>
      <c r="P57" s="31">
        <v>50</v>
      </c>
      <c r="Q57" s="31">
        <v>50</v>
      </c>
      <c r="R57" s="31">
        <v>50</v>
      </c>
    </row>
    <row r="58" spans="1:18" x14ac:dyDescent="0.2">
      <c r="A58" s="39" t="s">
        <v>43</v>
      </c>
      <c r="B58" s="40">
        <f>B56+B57</f>
        <v>5300</v>
      </c>
      <c r="C58" s="40">
        <f>C56+C57</f>
        <v>4950</v>
      </c>
      <c r="D58" s="40">
        <f t="shared" ref="D58:F58" si="41">D56+D57</f>
        <v>2840</v>
      </c>
      <c r="E58" s="40">
        <f t="shared" ref="E58" si="42">E56+E57</f>
        <v>2990</v>
      </c>
      <c r="F58" s="40">
        <f t="shared" si="41"/>
        <v>2990</v>
      </c>
      <c r="G58" s="40">
        <f t="shared" ref="G58" si="43">G56+G57</f>
        <v>3180</v>
      </c>
      <c r="H58" s="40">
        <f>H56+H57</f>
        <v>3150</v>
      </c>
      <c r="I58" s="40">
        <f>I56+I57</f>
        <v>3040</v>
      </c>
      <c r="J58" s="40">
        <f t="shared" ref="J58:L58" si="44">J56+J57</f>
        <v>2060</v>
      </c>
      <c r="K58" s="40">
        <f t="shared" ref="K58" si="45">K56+K57</f>
        <v>2170</v>
      </c>
      <c r="L58" s="40">
        <f t="shared" si="44"/>
        <v>2170</v>
      </c>
      <c r="M58" s="40">
        <f t="shared" ref="M58" si="46">M56+M57</f>
        <v>2300</v>
      </c>
      <c r="N58" s="40">
        <f>N56+N57</f>
        <v>2010</v>
      </c>
      <c r="O58" s="40">
        <f t="shared" ref="O58:R58" si="47">O56+O57</f>
        <v>1900</v>
      </c>
      <c r="P58" s="40">
        <f t="shared" si="47"/>
        <v>1560</v>
      </c>
      <c r="Q58" s="40">
        <f t="shared" si="47"/>
        <v>1600</v>
      </c>
      <c r="R58" s="40">
        <f t="shared" si="47"/>
        <v>1600</v>
      </c>
    </row>
    <row r="59" spans="1:18" x14ac:dyDescent="0.2">
      <c r="A59" s="28" t="s">
        <v>2</v>
      </c>
      <c r="B59" s="41"/>
      <c r="C59" s="41">
        <f>-C48-20*(C58-$B$58)</f>
        <v>3000</v>
      </c>
      <c r="D59" s="41">
        <f>-D48-20*(D58-$B$58)</f>
        <v>18280</v>
      </c>
      <c r="E59" s="41">
        <f>-E48-20*(E58-$B$58)</f>
        <v>22100</v>
      </c>
      <c r="F59" s="41">
        <f>-F48-20*(F58-$B$58)</f>
        <v>35530</v>
      </c>
      <c r="G59" s="41">
        <f>-G48-20*(G58-$B$58)</f>
        <v>37730</v>
      </c>
      <c r="H59" s="41"/>
      <c r="I59" s="41">
        <f>-I48-20*(I58-$H$58)</f>
        <v>-1800</v>
      </c>
      <c r="J59" s="41">
        <f>-J48-20*(J58-$H$58)</f>
        <v>6340</v>
      </c>
      <c r="K59" s="41">
        <f>-K48-20*(K58-$H$58)</f>
        <v>10840</v>
      </c>
      <c r="L59" s="41">
        <f>-L48-20*(L58-$H$58)</f>
        <v>16600</v>
      </c>
      <c r="M59" s="41">
        <f>-M48-20*(M58-$H$58)</f>
        <v>17200</v>
      </c>
      <c r="N59" s="41"/>
      <c r="O59" s="41">
        <f>-O48-20*(O58-$N$58)</f>
        <v>-1800</v>
      </c>
      <c r="P59" s="41">
        <f>-P48-20*(P58-$N$58)</f>
        <v>-1730</v>
      </c>
      <c r="Q59" s="41">
        <f>-Q48-20*(Q58-$N$58)</f>
        <v>-800</v>
      </c>
      <c r="R59" s="41">
        <f>-R48-20*(R58-$N$58)</f>
        <v>4200</v>
      </c>
    </row>
    <row r="60" spans="1:18" x14ac:dyDescent="0.2">
      <c r="A60" s="28" t="s">
        <v>16</v>
      </c>
      <c r="B60" s="42"/>
      <c r="C60" s="43">
        <f>IF((($B$58-C58)=0),IF((C48&lt;=0),"sofort","nie"),IF((C48/($B$58-C58)&lt;=0),IF((C48&lt;=0),"sofort","nie"),C48/($B$58-C58)))</f>
        <v>11.428571428571429</v>
      </c>
      <c r="D60" s="43">
        <f>IF((($B$58-D58)=0),IF((D48&lt;=0),"sofort","nie"),IF((D48/($B$58-D58)&lt;=0),IF((D48&lt;=0),"sofort","nie"),D48/($B$58-D58)))</f>
        <v>12.56910569105691</v>
      </c>
      <c r="E60" s="43">
        <f>IF((($B$58-E58)=0),IF((E48&lt;=0),"sofort","nie"),IF((E48/($B$58-E58)&lt;=0),IF((E48&lt;=0),"sofort","nie"),E48/($B$58-E58)))</f>
        <v>10.432900432900434</v>
      </c>
      <c r="F60" s="43">
        <f>IF((($B$58-F58)=0),IF((F48&lt;=0),"sofort","nie"),IF((F48/($B$58-F58)&lt;=0),IF((F48&lt;=0),"sofort","nie"),F48/($B$58-F58)))</f>
        <v>4.6190476190476186</v>
      </c>
      <c r="G60" s="43">
        <f>IF((($B$58-G58)=0),IF((G48&lt;=0),"sofort","nie"),IF((G48/($B$58-G58)&lt;=0),IF((G48&lt;=0),"sofort","nie"),G48/($B$58-G58)))</f>
        <v>2.2028301886792452</v>
      </c>
      <c r="H60" s="43"/>
      <c r="I60" s="43">
        <f>IF((($H$58-I58)=0),IF((I48&lt;=0),"sofort","nie"),IF((I48/($H$58-I58)&lt;=0),IF((I48&lt;=0),"sofort","nie"),I48/($H$58-I58)))</f>
        <v>36.363636363636367</v>
      </c>
      <c r="J60" s="43">
        <f>IF((($H$58-J58)=0),IF((J48&lt;=0),"sofort","nie"),IF((J48/($H$58-J58)&lt;=0),IF((J48&lt;=0),"sofort","nie"),J48/($H$58-J58)))</f>
        <v>14.18348623853211</v>
      </c>
      <c r="K60" s="43">
        <f>IF((($H$58-K58)=0),IF((K48&lt;=0),"sofort","nie"),IF((K48/($H$58-K58)&lt;=0),IF((K48&lt;=0),"sofort","nie"),K48/($H$58-K58)))</f>
        <v>8.9387755102040813</v>
      </c>
      <c r="L60" s="43">
        <f>IF((($H$58-L58)=0),IF((L48&lt;=0),"sofort","nie"),IF((L48/($H$58-L58)&lt;=0),IF((L48&lt;=0),"sofort","nie"),L48/($H$58-L58)))</f>
        <v>3.0612244897959182</v>
      </c>
      <c r="M60" s="43" t="str">
        <f>IF((($H$58-M58)=0),IF((M48&lt;=0),"sofort","nie"),IF((M48/($H$58-M58)&lt;=0),IF((M48&lt;=0),"sofort","nie"),M48/($H$58-M58)))</f>
        <v>sofort</v>
      </c>
      <c r="N60" s="43"/>
      <c r="O60" s="43">
        <f>IF((($N$58-O58)=0),IF((O48&lt;=0),"sofort","nie"),IF((O48/($N$58-O58)&lt;=0),IF((O48&lt;=0),"sofort","nie"),O48/($N$58-O58)))</f>
        <v>36.363636363636367</v>
      </c>
      <c r="P60" s="43">
        <f>IF((($N$58-P58)=0),IF((P48&lt;=0),"sofort","nie"),IF((P48/($N$58-P58)&lt;=0),IF((P48&lt;=0),"sofort","nie"),P48/($N$58-P58)))</f>
        <v>23.844444444444445</v>
      </c>
      <c r="Q60" s="43">
        <f>IF((($N$58-Q58)=0),IF((Q48&lt;=0),"sofort","nie"),IF((Q48/($N$58-Q58)&lt;=0),IF((Q48&lt;=0),"sofort","nie"),Q48/($N$58-Q58)))</f>
        <v>21.951219512195124</v>
      </c>
      <c r="R60" s="43">
        <f>IF((($N$58-R58)=0),IF((R48&lt;=0),"sofort","nie"),IF((R48/($N$58-R58)&lt;=0),IF((R48&lt;=0),"sofort","nie"),R48/($N$58-R58)))</f>
        <v>9.7560975609756095</v>
      </c>
    </row>
    <row r="61" spans="1:18" x14ac:dyDescent="0.2">
      <c r="A61" s="28" t="s">
        <v>17</v>
      </c>
      <c r="B61" s="44">
        <f>ROUND((10.6*B22*$I$6+B53*$I$8)/1000,1)</f>
        <v>10.5</v>
      </c>
      <c r="C61" s="44">
        <f>ROUND((C51*$I$6*10.6+C52*$I$7+(C53+C54)*$I$8)/1000,1)</f>
        <v>9.5</v>
      </c>
      <c r="D61" s="44">
        <f>ROUND((D51*$I$6*10.6+D52*$I$7+(D53+D54)*$I$8)/1000,1)</f>
        <v>4.5999999999999996</v>
      </c>
      <c r="E61" s="44">
        <f>ROUND((E51*$I$6*10.6+E52*$I$7+(E53+E54)*$I$8)/1000,1)</f>
        <v>4.9000000000000004</v>
      </c>
      <c r="F61" s="44">
        <f t="shared" ref="F61:G61" si="48">ROUND((F51*$I$6*10.6+F52*$I$7+(F53+F54)*$I$8)/1000,1)</f>
        <v>4.9000000000000004</v>
      </c>
      <c r="G61" s="44">
        <f t="shared" si="48"/>
        <v>5.3</v>
      </c>
      <c r="H61" s="44">
        <v>5.3</v>
      </c>
      <c r="I61" s="44">
        <f>ROUND((I51*$I$6*10.6+I52*$I$7+(I53+I54)*$I$8)/1000,1)</f>
        <v>5</v>
      </c>
      <c r="J61" s="44">
        <f t="shared" ref="J61:M61" si="49">ROUND((J51*$I$6*10.6+J52*$I$7+(J53+J54)*$I$8)/1000,1)</f>
        <v>3.3</v>
      </c>
      <c r="K61" s="44">
        <f t="shared" si="49"/>
        <v>3.5</v>
      </c>
      <c r="L61" s="44">
        <f t="shared" si="49"/>
        <v>3.5</v>
      </c>
      <c r="M61" s="44">
        <f t="shared" si="49"/>
        <v>3.8</v>
      </c>
      <c r="N61" s="44">
        <v>3</v>
      </c>
      <c r="O61" s="44">
        <f>ROUND((O51*$I$6*10.6+O52*$I$7+(O53+O54)*$I$8)/1000,1)</f>
        <v>2.7</v>
      </c>
      <c r="P61" s="44">
        <f>ROUND((P51*$I$6*10.6+P52*$I$7+(P53+P54)*$I$8)/1000,1)</f>
        <v>2.2999999999999998</v>
      </c>
      <c r="Q61" s="44">
        <f t="shared" ref="Q61:R61" si="50">ROUND((Q51*$I$6*10.6+Q52*$I$7+(Q53+Q54)*$I$8)/1000,1)</f>
        <v>2.4</v>
      </c>
      <c r="R61" s="44">
        <f t="shared" si="50"/>
        <v>2.4</v>
      </c>
    </row>
    <row r="62" spans="1:18" x14ac:dyDescent="0.2">
      <c r="A62" s="28" t="s">
        <v>3</v>
      </c>
      <c r="B62" s="45">
        <v>0</v>
      </c>
      <c r="C62" s="114">
        <f>ROUND(100*($B$55-C55)/($B$55-$B$53),1)/100</f>
        <v>0.14300000000000002</v>
      </c>
      <c r="D62" s="114">
        <f t="shared" ref="D62:F62" si="51">ROUND(100*($B$55-D55)/($B$55-$B$53),1)/100</f>
        <v>0.84</v>
      </c>
      <c r="E62" s="114">
        <f t="shared" ref="E62" si="52">ROUND(100*($B$55-E55)/($B$55-$B$53),1)/100</f>
        <v>0.82</v>
      </c>
      <c r="F62" s="114">
        <f t="shared" si="51"/>
        <v>0.82</v>
      </c>
      <c r="G62" s="114">
        <f t="shared" ref="G62" si="53">ROUND(100*($B$55-G55)/($B$55-$B$53),1)/100</f>
        <v>0.79400000000000004</v>
      </c>
      <c r="H62" s="45">
        <v>0</v>
      </c>
      <c r="I62" s="114">
        <f>ROUND(100*($H$55-I55)/($H$55-$H$53),1)/100</f>
        <v>0.185</v>
      </c>
      <c r="J62" s="114">
        <f>ROUND(100*($H$55-J55)/($H$55-$H$53),1)/100</f>
        <v>0.80599999999999994</v>
      </c>
      <c r="K62" s="114">
        <f t="shared" ref="K62" si="54">ROUND(100*($H$55-K55)/($H$55-$H$53),1)/100</f>
        <v>0.78099999999999992</v>
      </c>
      <c r="L62" s="114">
        <f>ROUND(100*($H$55-L55)/($H$55-$H$53),1)/100</f>
        <v>0.78099999999999992</v>
      </c>
      <c r="M62" s="114">
        <f t="shared" ref="M62" si="55">ROUND(100*($H$55-M55)/($H$55-$H$53),1)/100</f>
        <v>0.75099999999999989</v>
      </c>
      <c r="N62" s="45">
        <v>0</v>
      </c>
      <c r="O62" s="114">
        <f>ROUND(100*($N$55-O55)/($N$55-$H$53),1)/100</f>
        <v>0.504</v>
      </c>
      <c r="P62" s="114">
        <f>ROUND(100*($N$55-P55)/($N$55-$H$53),1)/100</f>
        <v>0.79799999999999993</v>
      </c>
      <c r="Q62" s="114">
        <f>ROUND(100*($N$55-Q55)/($N$55-$H$53),1)/100</f>
        <v>0.77300000000000002</v>
      </c>
      <c r="R62" s="114">
        <f>ROUND(100*($N$55-R55)/($N$55-$H$53),1)/100</f>
        <v>0.77300000000000002</v>
      </c>
    </row>
    <row r="63" spans="1:18" x14ac:dyDescent="0.2">
      <c r="A63" s="28" t="s">
        <v>4</v>
      </c>
      <c r="B63" s="45">
        <v>0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45">
        <v>0</v>
      </c>
      <c r="I63" s="114">
        <v>0</v>
      </c>
      <c r="J63" s="114">
        <v>0</v>
      </c>
      <c r="K63" s="114">
        <v>0</v>
      </c>
      <c r="L63" s="114">
        <v>0</v>
      </c>
      <c r="M63" s="114">
        <v>0</v>
      </c>
      <c r="N63" s="45">
        <v>0</v>
      </c>
      <c r="O63" s="114">
        <v>0</v>
      </c>
      <c r="P63" s="45">
        <v>0</v>
      </c>
      <c r="Q63" s="114">
        <v>0</v>
      </c>
      <c r="R63" s="45">
        <v>0</v>
      </c>
    </row>
    <row r="64" spans="1:18" x14ac:dyDescent="0.2">
      <c r="A64" s="28" t="s">
        <v>128</v>
      </c>
      <c r="B64" s="45">
        <v>0</v>
      </c>
      <c r="C64" s="114">
        <f>ROUND(100*($B$55-C55)/$B$55,1)/100</f>
        <v>0.125</v>
      </c>
      <c r="D64" s="114">
        <f t="shared" ref="D64:F64" si="56">ROUND(100*($B$55-D55)/$B$55,1)/100</f>
        <v>0.73</v>
      </c>
      <c r="E64" s="114">
        <f t="shared" ref="E64" si="57">ROUND(100*($B$55-E55)/$B$55,1)/100</f>
        <v>0.71200000000000008</v>
      </c>
      <c r="F64" s="114">
        <f t="shared" si="56"/>
        <v>0.71200000000000008</v>
      </c>
      <c r="G64" s="114">
        <f t="shared" ref="G64" si="58">ROUND(100*($B$55-G55)/$B$55,1)/100</f>
        <v>0.69</v>
      </c>
      <c r="H64" s="45">
        <v>0</v>
      </c>
      <c r="I64" s="114">
        <f>ROUND(100*($H$55-I55)/$H$55,1)/100</f>
        <v>0.154</v>
      </c>
      <c r="J64" s="114">
        <f>ROUND(100*($H$55-J55)/$H$55,1)/100</f>
        <v>0.67200000000000004</v>
      </c>
      <c r="K64" s="114">
        <f t="shared" ref="K64" si="59">ROUND(100*($H$55-K55)/$H$55,1)/100</f>
        <v>0.65099999999999991</v>
      </c>
      <c r="L64" s="114">
        <f>ROUND(100*($H$55-L55)/$H$55,1)/100</f>
        <v>0.65099999999999991</v>
      </c>
      <c r="M64" s="114">
        <f t="shared" ref="M64" si="60">ROUND(100*($H$55-M55)/$H$55,1)/100</f>
        <v>0.626</v>
      </c>
      <c r="N64" s="45">
        <v>0</v>
      </c>
      <c r="O64" s="114">
        <f>ROUND(100*($N$55-O55)/$N$55,1)/100</f>
        <v>0.32600000000000001</v>
      </c>
      <c r="P64" s="114">
        <f>ROUND(100*($N$55-P55)/$N$55,1)/100</f>
        <v>0.51600000000000001</v>
      </c>
      <c r="Q64" s="114">
        <f>ROUND(100*($N$55-Q55)/$N$55,1)/100</f>
        <v>0.5</v>
      </c>
      <c r="R64" s="114">
        <f>ROUND(100*($N$55-R55)/$N$55,1)/100</f>
        <v>0.5</v>
      </c>
    </row>
    <row r="65" spans="1:18" x14ac:dyDescent="0.2">
      <c r="A65" s="167" t="s">
        <v>234</v>
      </c>
      <c r="B65" s="128">
        <f>B55/B24</f>
        <v>254.16666666666666</v>
      </c>
      <c r="C65" s="128">
        <f t="shared" ref="C65:R65" si="61">C55/C24</f>
        <v>222.5</v>
      </c>
      <c r="D65" s="128">
        <f t="shared" si="61"/>
        <v>68.75</v>
      </c>
      <c r="E65" s="128">
        <f t="shared" si="61"/>
        <v>73.166666666666671</v>
      </c>
      <c r="F65" s="128">
        <f t="shared" si="61"/>
        <v>73.166666666666671</v>
      </c>
      <c r="G65" s="128">
        <f t="shared" si="61"/>
        <v>78.833333333333329</v>
      </c>
      <c r="H65" s="128">
        <f t="shared" si="61"/>
        <v>128.57142857142858</v>
      </c>
      <c r="I65" s="128">
        <f t="shared" si="61"/>
        <v>108.78571428571429</v>
      </c>
      <c r="J65" s="128">
        <f t="shared" si="61"/>
        <v>42.214285714285715</v>
      </c>
      <c r="K65" s="128">
        <f t="shared" si="61"/>
        <v>44.857142857142854</v>
      </c>
      <c r="L65" s="128">
        <f t="shared" si="61"/>
        <v>44.857142857142854</v>
      </c>
      <c r="M65" s="128">
        <f t="shared" si="61"/>
        <v>48.142857142857146</v>
      </c>
      <c r="N65" s="128">
        <f t="shared" si="61"/>
        <v>70.833333333333329</v>
      </c>
      <c r="O65" s="128">
        <f t="shared" si="61"/>
        <v>47.75</v>
      </c>
      <c r="P65" s="128">
        <f t="shared" si="61"/>
        <v>34.25</v>
      </c>
      <c r="Q65" s="128">
        <f t="shared" si="61"/>
        <v>35.416666666666664</v>
      </c>
      <c r="R65" s="128">
        <f t="shared" si="61"/>
        <v>35.416666666666664</v>
      </c>
    </row>
    <row r="66" spans="1:18" x14ac:dyDescent="0.2">
      <c r="D66" s="6"/>
      <c r="E66" s="6"/>
      <c r="I66" s="3"/>
    </row>
    <row r="67" spans="1:18" x14ac:dyDescent="0.2">
      <c r="B67" s="57"/>
      <c r="C67" s="48" t="s">
        <v>46</v>
      </c>
      <c r="D67" s="48"/>
      <c r="E67" s="48"/>
      <c r="F67" s="58"/>
      <c r="G67" s="59" t="s">
        <v>47</v>
      </c>
      <c r="H67" s="48"/>
      <c r="I67" s="49"/>
    </row>
    <row r="68" spans="1:18" x14ac:dyDescent="0.2">
      <c r="B68" s="60"/>
      <c r="C68" t="s">
        <v>48</v>
      </c>
      <c r="F68" s="61"/>
      <c r="G68" s="51" t="s">
        <v>70</v>
      </c>
      <c r="I68" s="52"/>
    </row>
    <row r="69" spans="1:18" x14ac:dyDescent="0.2">
      <c r="B69" s="62"/>
      <c r="C69" t="s">
        <v>50</v>
      </c>
      <c r="F69" s="63"/>
      <c r="G69" t="s">
        <v>51</v>
      </c>
      <c r="I69" s="52"/>
    </row>
    <row r="70" spans="1:18" x14ac:dyDescent="0.2">
      <c r="B70" s="64"/>
      <c r="C70" s="55" t="s">
        <v>52</v>
      </c>
      <c r="D70" s="55"/>
      <c r="E70" s="55"/>
      <c r="F70" s="55"/>
      <c r="G70" s="55"/>
      <c r="H70" s="55"/>
      <c r="I70" s="56"/>
    </row>
    <row r="72" spans="1:18" x14ac:dyDescent="0.2">
      <c r="B72" s="46"/>
      <c r="C72" s="47" t="s">
        <v>55</v>
      </c>
      <c r="D72" s="48"/>
      <c r="E72" s="48"/>
      <c r="F72" s="49"/>
    </row>
    <row r="73" spans="1:18" x14ac:dyDescent="0.2">
      <c r="B73" s="50" t="s">
        <v>56</v>
      </c>
      <c r="C73" s="51" t="s">
        <v>58</v>
      </c>
      <c r="F73" s="52"/>
    </row>
    <row r="74" spans="1:18" x14ac:dyDescent="0.2">
      <c r="B74" s="53" t="s">
        <v>57</v>
      </c>
      <c r="C74" s="54" t="s">
        <v>59</v>
      </c>
      <c r="D74" s="55"/>
      <c r="E74" s="55"/>
      <c r="F74" s="56"/>
    </row>
    <row r="76" spans="1:18" x14ac:dyDescent="0.2">
      <c r="B76" t="s">
        <v>235</v>
      </c>
    </row>
    <row r="78" spans="1:18" x14ac:dyDescent="0.2">
      <c r="B78" s="170" t="s">
        <v>236</v>
      </c>
      <c r="C78" s="171" t="s">
        <v>236</v>
      </c>
      <c r="D78" s="172" t="s">
        <v>237</v>
      </c>
      <c r="E78" s="173" t="s">
        <v>237</v>
      </c>
      <c r="F78" s="174" t="s">
        <v>238</v>
      </c>
    </row>
    <row r="79" spans="1:18" x14ac:dyDescent="0.2">
      <c r="B79" s="168"/>
      <c r="C79" s="171" t="s">
        <v>239</v>
      </c>
      <c r="D79" s="172"/>
      <c r="E79" s="173" t="s">
        <v>240</v>
      </c>
      <c r="F79" s="169"/>
    </row>
  </sheetData>
  <sheetProtection algorithmName="SHA-512" hashValue="cllcVG8qZJrGLmUB8OXNYP6GpziJ3eCMTVqXFM/3JyRdpTqHmxwYC7TxXOXASyqhM9Cl0rZ9Klbfq08FrlJV1Q==" saltValue="5JL+ojgI9VQsVbh4AKJ7lw==" spinCount="100000" sheet="1" objects="1" scenarios="1" selectLockedCells="1" selectUnlockedCells="1"/>
  <phoneticPr fontId="0" type="noConversion"/>
  <conditionalFormatting sqref="B60">
    <cfRule type="expression" dxfId="53" priority="173" stopIfTrue="1">
      <formula>OR(IF(B$48&gt;0,B$60&lt;=10,B$60&gt;30),B$60&lt;0)</formula>
    </cfRule>
    <cfRule type="expression" dxfId="52" priority="174" stopIfTrue="1">
      <formula>B$48&lt;0</formula>
    </cfRule>
  </conditionalFormatting>
  <conditionalFormatting sqref="B61 H61 N61">
    <cfRule type="cellIs" dxfId="51" priority="44" stopIfTrue="1" operator="greaterThan">
      <formula>$B$61</formula>
    </cfRule>
    <cfRule type="cellIs" dxfId="50" priority="47" stopIfTrue="1" operator="lessThanOrEqual">
      <formula>2</formula>
    </cfRule>
  </conditionalFormatting>
  <conditionalFormatting sqref="B48:R48">
    <cfRule type="cellIs" dxfId="49" priority="37" operator="lessThan">
      <formula>0</formula>
    </cfRule>
    <cfRule type="cellIs" dxfId="48" priority="38" stopIfTrue="1" operator="lessThanOrEqual">
      <formula>5000</formula>
    </cfRule>
  </conditionalFormatting>
  <conditionalFormatting sqref="B58:R58">
    <cfRule type="cellIs" dxfId="47" priority="39" operator="greaterThan">
      <formula>$B$58</formula>
    </cfRule>
    <cfRule type="cellIs" dxfId="46" priority="56" stopIfTrue="1" operator="lessThanOrEqual">
      <formula>1500</formula>
    </cfRule>
  </conditionalFormatting>
  <conditionalFormatting sqref="B59:R59">
    <cfRule type="cellIs" dxfId="45" priority="29" stopIfTrue="1" operator="greaterThanOrEqual">
      <formula>5000</formula>
    </cfRule>
  </conditionalFormatting>
  <conditionalFormatting sqref="B62:R62 C64:G64 I64:M64">
    <cfRule type="cellIs" dxfId="44" priority="24" stopIfTrue="1" operator="greaterThanOrEqual">
      <formula>0.5</formula>
    </cfRule>
  </conditionalFormatting>
  <conditionalFormatting sqref="B65:R65">
    <cfRule type="cellIs" dxfId="43" priority="1" operator="greaterThan">
      <formula>220</formula>
    </cfRule>
    <cfRule type="cellIs" dxfId="42" priority="2" operator="between">
      <formula>180</formula>
      <formula>220</formula>
    </cfRule>
    <cfRule type="cellIs" dxfId="41" priority="3" operator="between">
      <formula>100</formula>
      <formula>180</formula>
    </cfRule>
    <cfRule type="cellIs" dxfId="40" priority="4" operator="between">
      <formula>80</formula>
      <formula>100</formula>
    </cfRule>
    <cfRule type="cellIs" dxfId="39" priority="5" operator="lessThan">
      <formula>80</formula>
    </cfRule>
  </conditionalFormatting>
  <conditionalFormatting sqref="C60:G60 I60:M60 O60:R60">
    <cfRule type="expression" dxfId="38" priority="179">
      <formula>OR(IF(C$47&gt;0,C$60&lt;=10,C$60&gt;30),C$60="sofort")</formula>
    </cfRule>
    <cfRule type="expression" dxfId="37" priority="180" stopIfTrue="1">
      <formula>C$48&lt;0</formula>
    </cfRule>
  </conditionalFormatting>
  <conditionalFormatting sqref="C61:G61 I61:M61">
    <cfRule type="cellIs" dxfId="36" priority="25" operator="lessThanOrEqual">
      <formula>2</formula>
    </cfRule>
    <cfRule type="cellIs" dxfId="35" priority="26" operator="greaterThan">
      <formula>$B$61</formula>
    </cfRule>
  </conditionalFormatting>
  <conditionalFormatting sqref="C63:G63 I63:M63 B63:B64 H63:H64 N63:N64">
    <cfRule type="cellIs" dxfId="34" priority="42" stopIfTrue="1" operator="greaterThanOrEqual">
      <formula>0.5</formula>
    </cfRule>
  </conditionalFormatting>
  <conditionalFormatting sqref="H60">
    <cfRule type="expression" dxfId="33" priority="181">
      <formula>OR(IF(H$48&gt;0,H$60&lt;=10,H$60&gt;30),H$62="sofort")</formula>
    </cfRule>
    <cfRule type="expression" dxfId="32" priority="182" stopIfTrue="1">
      <formula>H$48&lt;0</formula>
    </cfRule>
  </conditionalFormatting>
  <conditionalFormatting sqref="O61:R61">
    <cfRule type="cellIs" dxfId="31" priority="6" operator="lessThanOrEqual">
      <formula>2</formula>
    </cfRule>
    <cfRule type="cellIs" dxfId="30" priority="7" operator="greaterThan">
      <formula>$B$61</formula>
    </cfRule>
  </conditionalFormatting>
  <conditionalFormatting sqref="O63:R63">
    <cfRule type="cellIs" dxfId="29" priority="9" stopIfTrue="1" operator="greaterThanOrEqual">
      <formula>0.5</formula>
    </cfRule>
  </conditionalFormatting>
  <conditionalFormatting sqref="O64:R64">
    <cfRule type="cellIs" dxfId="28" priority="8" stopIfTrue="1" operator="greaterThanOrEqual">
      <formula>0.5</formula>
    </cfRule>
  </conditionalFormatting>
  <pageMargins left="0.39370078740157483" right="0.39370078740157483" top="0.98425196850393704" bottom="0.98425196850393704" header="0.51181102362204722" footer="0.51181102362204722"/>
  <pageSetup paperSize="9" scale="48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L94"/>
  <sheetViews>
    <sheetView showGridLines="0" zoomScale="90" zoomScaleNormal="90"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36.140625" customWidth="1"/>
    <col min="2" max="12" width="17.7109375" customWidth="1"/>
  </cols>
  <sheetData>
    <row r="1" spans="1:38" s="2" customFormat="1" ht="23.25" x14ac:dyDescent="0.35">
      <c r="A1" s="7" t="s">
        <v>207</v>
      </c>
      <c r="B1" s="2" t="s">
        <v>208</v>
      </c>
    </row>
    <row r="2" spans="1:38" s="2" customFormat="1" ht="23.25" x14ac:dyDescent="0.35">
      <c r="A2" s="7"/>
      <c r="B2" s="65" t="s">
        <v>230</v>
      </c>
    </row>
    <row r="3" spans="1:38" s="2" customFormat="1" ht="23.25" x14ac:dyDescent="0.35">
      <c r="A3" s="7"/>
      <c r="B3" s="51" t="s">
        <v>228</v>
      </c>
      <c r="C3"/>
      <c r="D3"/>
      <c r="E3"/>
      <c r="F3"/>
    </row>
    <row r="4" spans="1:38" s="2" customFormat="1" ht="24.95" customHeight="1" x14ac:dyDescent="0.35">
      <c r="A4" s="7"/>
      <c r="B4" s="94" t="s">
        <v>229</v>
      </c>
      <c r="C4" s="95"/>
      <c r="D4" s="95"/>
      <c r="E4" s="95"/>
      <c r="F4" s="95"/>
      <c r="M4" s="100"/>
      <c r="N4" s="100"/>
    </row>
    <row r="5" spans="1:38" ht="12.75" customHeight="1" x14ac:dyDescent="0.2">
      <c r="A5" s="10"/>
      <c r="B5" s="11"/>
      <c r="C5" s="11"/>
      <c r="D5" s="11"/>
      <c r="E5" s="11"/>
      <c r="F5" s="11"/>
      <c r="G5" s="11"/>
      <c r="H5" s="74" t="s">
        <v>34</v>
      </c>
      <c r="I5" s="71"/>
      <c r="J5" s="11"/>
      <c r="K5" s="11"/>
      <c r="L5" s="11"/>
      <c r="M5" s="11"/>
      <c r="N5" s="12"/>
      <c r="O5" s="81"/>
      <c r="P5" s="81"/>
    </row>
    <row r="6" spans="1:38" x14ac:dyDescent="0.2">
      <c r="A6" s="17" t="s">
        <v>53</v>
      </c>
      <c r="B6" s="67">
        <v>2500</v>
      </c>
      <c r="C6" s="68" t="s">
        <v>54</v>
      </c>
      <c r="D6" s="69" t="str">
        <f>IF(OR((B6&lt;0),(B6&gt;100000)),"Wert prüfen","gültiger Wert")</f>
        <v>gültiger Wert</v>
      </c>
      <c r="E6" s="9"/>
      <c r="F6" s="9"/>
      <c r="G6" s="9"/>
      <c r="H6" s="76">
        <v>2500</v>
      </c>
      <c r="I6" s="71" t="s">
        <v>54</v>
      </c>
      <c r="J6" s="9"/>
      <c r="K6" s="9"/>
      <c r="L6" s="9"/>
      <c r="M6" s="9"/>
      <c r="N6" s="14"/>
      <c r="O6" s="81"/>
      <c r="P6" s="81"/>
    </row>
    <row r="7" spans="1:38" x14ac:dyDescent="0.2">
      <c r="A7" s="17" t="s">
        <v>71</v>
      </c>
      <c r="B7" s="67">
        <v>0</v>
      </c>
      <c r="C7" s="68" t="s">
        <v>68</v>
      </c>
      <c r="D7" s="69" t="str">
        <f>IF(OR((B7&lt;0),(B7&gt;1000000)),"Wert prüfen","gültiger Wert")</f>
        <v>gültiger Wert</v>
      </c>
      <c r="E7" s="9"/>
      <c r="F7" s="9"/>
      <c r="G7" s="9"/>
      <c r="H7" s="76">
        <v>0</v>
      </c>
      <c r="I7" s="71" t="s">
        <v>68</v>
      </c>
      <c r="J7" s="9"/>
      <c r="K7" s="9"/>
      <c r="L7" s="9"/>
      <c r="M7" s="9"/>
      <c r="N7" s="14"/>
      <c r="O7" s="81"/>
      <c r="P7" s="81"/>
    </row>
    <row r="8" spans="1:38" x14ac:dyDescent="0.2">
      <c r="A8" s="17" t="s">
        <v>74</v>
      </c>
      <c r="B8" s="67">
        <v>0</v>
      </c>
      <c r="C8" s="68" t="s">
        <v>77</v>
      </c>
      <c r="D8" s="69" t="str">
        <f>IF(OR((B8&lt;0),(B8&gt;100000)),"Wert prüfen","gültiger Wert")</f>
        <v>gültiger Wert</v>
      </c>
      <c r="E8" s="9"/>
      <c r="F8" s="9"/>
      <c r="G8" s="9"/>
      <c r="H8" s="76">
        <v>0</v>
      </c>
      <c r="I8" s="71" t="s">
        <v>68</v>
      </c>
      <c r="J8" s="9"/>
      <c r="K8" s="9"/>
      <c r="L8" s="9"/>
      <c r="M8" s="9"/>
      <c r="N8" s="14"/>
      <c r="O8" s="81"/>
      <c r="P8" s="81"/>
    </row>
    <row r="9" spans="1:38" x14ac:dyDescent="0.2">
      <c r="A9" s="17" t="s">
        <v>75</v>
      </c>
      <c r="B9" s="67">
        <v>0</v>
      </c>
      <c r="C9" s="68" t="s">
        <v>78</v>
      </c>
      <c r="D9" s="69" t="str">
        <f>IF(OR((B9&lt;0),(B9&gt;100000)),"Wertprüfen","gültiger Wert")</f>
        <v>gültiger Wert</v>
      </c>
      <c r="E9" s="9"/>
      <c r="F9" s="9"/>
      <c r="G9" s="9"/>
      <c r="H9" s="76">
        <v>0</v>
      </c>
      <c r="I9" s="71" t="s">
        <v>68</v>
      </c>
      <c r="J9" s="9"/>
      <c r="K9" s="9"/>
      <c r="L9" s="9"/>
      <c r="M9" s="9"/>
      <c r="N9" s="14"/>
      <c r="O9" s="81"/>
      <c r="P9" s="81"/>
    </row>
    <row r="10" spans="1:38" x14ac:dyDescent="0.2">
      <c r="A10" s="17" t="s">
        <v>76</v>
      </c>
      <c r="B10" s="67">
        <v>0</v>
      </c>
      <c r="C10" s="68" t="s">
        <v>68</v>
      </c>
      <c r="D10" s="69" t="str">
        <f>IF(OR((B10&lt;0),(B10&gt;1000000)),"Wert prüfen","gültiger Wert")</f>
        <v>gültiger Wert</v>
      </c>
      <c r="E10" s="9"/>
      <c r="F10" s="9"/>
      <c r="G10" s="9"/>
      <c r="H10" s="76">
        <v>0</v>
      </c>
      <c r="I10" s="71" t="s">
        <v>68</v>
      </c>
      <c r="J10" s="9"/>
      <c r="K10" s="9"/>
      <c r="L10" s="9"/>
      <c r="M10" s="9"/>
      <c r="N10" s="14"/>
      <c r="O10" s="81"/>
      <c r="P10" s="81"/>
    </row>
    <row r="11" spans="1:38" x14ac:dyDescent="0.2">
      <c r="A11" s="17" t="s">
        <v>72</v>
      </c>
      <c r="B11" s="67">
        <v>4600</v>
      </c>
      <c r="C11" s="68" t="s">
        <v>68</v>
      </c>
      <c r="D11" s="69" t="str">
        <f>IF(OR((B11&lt;0),(B11&gt;100000)),"Wert prüfen","gültiger Wert")</f>
        <v>gültiger Wert</v>
      </c>
      <c r="E11" s="9"/>
      <c r="F11" s="9"/>
      <c r="G11" s="9"/>
      <c r="H11" s="76">
        <v>4600</v>
      </c>
      <c r="I11" s="71" t="s">
        <v>68</v>
      </c>
      <c r="J11" s="17" t="s">
        <v>29</v>
      </c>
      <c r="K11" s="18"/>
      <c r="L11" s="19"/>
      <c r="M11" s="74" t="s">
        <v>34</v>
      </c>
      <c r="N11" s="71"/>
      <c r="O11" s="81"/>
      <c r="P11" s="81"/>
    </row>
    <row r="12" spans="1:38" x14ac:dyDescent="0.2">
      <c r="A12" s="17" t="s">
        <v>73</v>
      </c>
      <c r="B12" s="67">
        <v>3000</v>
      </c>
      <c r="C12" s="68" t="s">
        <v>68</v>
      </c>
      <c r="D12" s="69" t="str">
        <f>IF(OR((B12&lt;0),(B12&gt;100000)),"Wert prüfen","gültiger Wert")</f>
        <v>gültiger Wert</v>
      </c>
      <c r="E12" s="9"/>
      <c r="F12" s="9"/>
      <c r="G12" s="9"/>
      <c r="H12" s="76">
        <v>3000</v>
      </c>
      <c r="I12" s="71" t="s">
        <v>68</v>
      </c>
      <c r="J12" s="20" t="s">
        <v>40</v>
      </c>
      <c r="K12" s="73">
        <v>0.31</v>
      </c>
      <c r="L12" s="19" t="s">
        <v>33</v>
      </c>
      <c r="M12" s="98">
        <v>0.31</v>
      </c>
      <c r="N12" s="71" t="s">
        <v>33</v>
      </c>
      <c r="O12" s="81"/>
      <c r="P12" s="81"/>
    </row>
    <row r="13" spans="1:38" x14ac:dyDescent="0.2">
      <c r="A13" s="17" t="s">
        <v>85</v>
      </c>
      <c r="B13" s="70">
        <v>0.8</v>
      </c>
      <c r="C13" s="68"/>
      <c r="D13" s="69" t="str">
        <f>IF(OR((B13&lt;0.5),(B13&gt;1)),"Wert außerhalb","gültiger Wert")</f>
        <v>gültiger Wert</v>
      </c>
      <c r="E13" s="9"/>
      <c r="F13" s="9"/>
      <c r="G13" s="9"/>
      <c r="H13" s="75">
        <v>0.8</v>
      </c>
      <c r="I13" s="71"/>
      <c r="J13" s="20" t="s">
        <v>30</v>
      </c>
      <c r="K13" s="73">
        <v>0.24</v>
      </c>
      <c r="L13" s="19" t="s">
        <v>33</v>
      </c>
      <c r="M13" s="98">
        <v>0.24</v>
      </c>
      <c r="N13" s="71" t="s">
        <v>33</v>
      </c>
      <c r="O13" s="81"/>
      <c r="P13" s="81"/>
    </row>
    <row r="14" spans="1:38" x14ac:dyDescent="0.2">
      <c r="A14" s="17" t="s">
        <v>39</v>
      </c>
      <c r="B14" s="66">
        <v>1.4</v>
      </c>
      <c r="C14" s="69" t="s">
        <v>86</v>
      </c>
      <c r="D14" s="69" t="str">
        <f>IF(OR((B14&lt;0),(B14&gt;10)),"Wert prüfen","gültiger Wert")</f>
        <v>gültiger Wert</v>
      </c>
      <c r="E14" s="9"/>
      <c r="F14" s="9"/>
      <c r="G14" s="9"/>
      <c r="H14" s="91" t="s">
        <v>81</v>
      </c>
      <c r="I14" s="71"/>
      <c r="J14" s="20" t="s">
        <v>22</v>
      </c>
      <c r="K14" s="73">
        <v>0.56000000000000005</v>
      </c>
      <c r="L14" s="19" t="s">
        <v>33</v>
      </c>
      <c r="M14" s="98">
        <v>0.56000000000000005</v>
      </c>
      <c r="N14" s="71" t="s">
        <v>33</v>
      </c>
      <c r="O14" s="81"/>
      <c r="P14" s="81"/>
    </row>
    <row r="15" spans="1:38" x14ac:dyDescent="0.2">
      <c r="A15" s="17" t="s">
        <v>19</v>
      </c>
      <c r="B15" s="66">
        <v>12</v>
      </c>
      <c r="C15" s="69" t="s">
        <v>21</v>
      </c>
      <c r="D15" s="69" t="str">
        <f>IF(OR((B15&lt;3),(B15&gt;100)),"Wert prüfen","gültiger Wert")</f>
        <v>gültiger Wert</v>
      </c>
      <c r="E15" s="9"/>
      <c r="F15" s="9"/>
      <c r="G15" s="9"/>
      <c r="H15" s="91" t="s">
        <v>82</v>
      </c>
      <c r="I15" s="71"/>
      <c r="J15" s="20" t="s">
        <v>31</v>
      </c>
      <c r="K15" s="73">
        <v>0.02</v>
      </c>
      <c r="L15" s="19" t="s">
        <v>33</v>
      </c>
      <c r="M15" s="98">
        <v>0.02</v>
      </c>
      <c r="N15" s="71" t="s">
        <v>33</v>
      </c>
      <c r="O15" s="81"/>
      <c r="P15" s="81"/>
    </row>
    <row r="16" spans="1:38" x14ac:dyDescent="0.2">
      <c r="A16" s="17" t="s">
        <v>23</v>
      </c>
      <c r="B16" s="67">
        <v>100</v>
      </c>
      <c r="C16" s="69" t="s">
        <v>25</v>
      </c>
      <c r="D16" s="20" t="str">
        <f>IF(OR((B16&lt;10),(B16&gt;1000)),"Wert prüfen","gültiger Wert")</f>
        <v>gültiger Wert</v>
      </c>
      <c r="E16" s="90">
        <v>1880</v>
      </c>
      <c r="F16" s="18" t="s">
        <v>27</v>
      </c>
      <c r="G16" s="105">
        <f>B16/E16*100</f>
        <v>5.3191489361702127</v>
      </c>
      <c r="H16" s="75">
        <v>100</v>
      </c>
      <c r="I16" s="103" t="s">
        <v>25</v>
      </c>
      <c r="J16" s="20" t="s">
        <v>32</v>
      </c>
      <c r="K16" s="73">
        <v>4.1000000000000002E-2</v>
      </c>
      <c r="L16" s="19" t="s">
        <v>33</v>
      </c>
      <c r="M16" s="98">
        <v>4.1000000000000002E-2</v>
      </c>
      <c r="N16" s="71" t="s">
        <v>33</v>
      </c>
      <c r="O16" s="4"/>
      <c r="P16" s="5"/>
      <c r="Q16" s="4"/>
      <c r="R16" s="5"/>
      <c r="S16" s="4"/>
      <c r="T16" s="4"/>
      <c r="AK16" s="81"/>
      <c r="AL16" s="81"/>
    </row>
    <row r="17" spans="1:38" x14ac:dyDescent="0.2">
      <c r="A17" s="17" t="s">
        <v>24</v>
      </c>
      <c r="B17" s="67">
        <v>400</v>
      </c>
      <c r="C17" s="69" t="s">
        <v>26</v>
      </c>
      <c r="D17" s="20" t="str">
        <f>IF(OR((B17&lt;150),(B17&gt;1000)),"Wert prüfen","gültiger Wert")</f>
        <v>gültiger Wert</v>
      </c>
      <c r="E17" s="90">
        <v>5400</v>
      </c>
      <c r="F17" s="104" t="s">
        <v>28</v>
      </c>
      <c r="G17" s="105">
        <f>B17/E17*100</f>
        <v>7.4074074074074066</v>
      </c>
      <c r="H17" s="75">
        <v>400</v>
      </c>
      <c r="I17" s="103" t="s">
        <v>26</v>
      </c>
      <c r="J17" s="10"/>
      <c r="K17" s="9"/>
      <c r="L17" s="9"/>
      <c r="M17" s="96"/>
      <c r="N17" s="97"/>
      <c r="O17" s="4"/>
      <c r="P17" s="5"/>
      <c r="Q17" s="4"/>
      <c r="R17" s="5"/>
      <c r="S17" s="4"/>
      <c r="T17" s="4"/>
      <c r="AK17" s="81"/>
      <c r="AL17" s="81"/>
    </row>
    <row r="18" spans="1:38" x14ac:dyDescent="0.2">
      <c r="A18" s="17" t="s">
        <v>20</v>
      </c>
      <c r="B18" s="66">
        <v>40</v>
      </c>
      <c r="C18" s="69" t="s">
        <v>21</v>
      </c>
      <c r="D18" s="69" t="str">
        <f>IF(OR((B18&lt;10),(B18&gt;200)),"Wert prüfen","gültiger Wert")</f>
        <v>gültiger Wert</v>
      </c>
      <c r="E18" s="9"/>
      <c r="F18" s="9"/>
      <c r="G18" s="9"/>
      <c r="H18" s="91" t="s">
        <v>83</v>
      </c>
      <c r="I18" s="71"/>
      <c r="J18" s="9"/>
      <c r="K18" s="9"/>
      <c r="L18" s="9"/>
      <c r="M18" s="96"/>
      <c r="N18" s="97"/>
      <c r="O18" s="81"/>
      <c r="P18" s="81"/>
    </row>
    <row r="19" spans="1:38" x14ac:dyDescent="0.2">
      <c r="A19" s="17" t="s">
        <v>79</v>
      </c>
      <c r="B19" s="66">
        <v>28</v>
      </c>
      <c r="C19" s="69" t="s">
        <v>21</v>
      </c>
      <c r="D19" s="69" t="str">
        <f>IF(OR((B19&lt;10),(B19&gt;200)),"Wert prüfen","gültiger Wert")</f>
        <v>gültiger Wert</v>
      </c>
      <c r="E19" s="9"/>
      <c r="F19" s="9"/>
      <c r="G19" s="9"/>
      <c r="H19" s="91">
        <v>28</v>
      </c>
      <c r="I19" s="71" t="s">
        <v>166</v>
      </c>
      <c r="J19" s="9"/>
      <c r="K19" s="9"/>
      <c r="L19" s="9"/>
      <c r="M19" s="96"/>
      <c r="N19" s="97"/>
      <c r="O19" s="81"/>
      <c r="P19" s="81"/>
    </row>
    <row r="20" spans="1:38" x14ac:dyDescent="0.2">
      <c r="A20" s="17" t="s">
        <v>167</v>
      </c>
      <c r="B20" s="66">
        <v>28</v>
      </c>
      <c r="C20" s="69" t="s">
        <v>21</v>
      </c>
      <c r="D20" s="69" t="str">
        <f>IF(OR((B20&lt;10),(B20&gt;200)),"Wert prüfen","gültiger Wert")</f>
        <v>gültiger Wert</v>
      </c>
      <c r="E20" s="9"/>
      <c r="F20" s="9"/>
      <c r="G20" s="9"/>
      <c r="H20" s="91">
        <v>28</v>
      </c>
      <c r="I20" s="71" t="s">
        <v>166</v>
      </c>
      <c r="J20" s="9"/>
      <c r="K20" s="9"/>
      <c r="L20" s="9"/>
      <c r="M20" s="96"/>
      <c r="N20" s="97"/>
      <c r="O20" s="81"/>
      <c r="P20" s="81"/>
    </row>
    <row r="21" spans="1:38" x14ac:dyDescent="0.2">
      <c r="A21" s="17" t="s">
        <v>103</v>
      </c>
      <c r="B21" s="67">
        <v>1000</v>
      </c>
      <c r="C21" s="112" t="s">
        <v>104</v>
      </c>
      <c r="D21" s="69" t="str">
        <f>IF(OR((B21&lt;500),(B21&gt;1500)),"Wert außerhalb","gültiger Wert")</f>
        <v>gültiger Wert</v>
      </c>
      <c r="E21" s="13"/>
      <c r="F21" s="9"/>
      <c r="G21" s="14"/>
      <c r="H21" s="91">
        <v>1000</v>
      </c>
      <c r="I21" s="71" t="s">
        <v>104</v>
      </c>
      <c r="J21" s="13"/>
      <c r="K21" s="9"/>
      <c r="L21" s="9"/>
      <c r="M21" s="9"/>
      <c r="N21" s="14"/>
      <c r="O21" s="81"/>
      <c r="P21" s="81"/>
    </row>
    <row r="22" spans="1:38" x14ac:dyDescent="0.2">
      <c r="A22" s="17" t="s">
        <v>232</v>
      </c>
      <c r="B22" s="67">
        <v>120</v>
      </c>
      <c r="C22" s="112" t="s">
        <v>233</v>
      </c>
      <c r="D22" s="69" t="str">
        <f>IF(OR((B22&lt;10),(B22&gt;1000)),"Wert außerhalb","gültiger Wert")</f>
        <v>gültiger Wert</v>
      </c>
      <c r="E22" s="9"/>
      <c r="F22" s="9"/>
      <c r="G22" s="9"/>
      <c r="H22" s="91">
        <v>120</v>
      </c>
      <c r="I22" s="71" t="s">
        <v>233</v>
      </c>
      <c r="J22" s="13"/>
      <c r="K22" s="9"/>
      <c r="L22" s="9"/>
      <c r="M22" s="9"/>
      <c r="N22" s="14"/>
      <c r="O22" s="81"/>
      <c r="P22" s="81"/>
    </row>
    <row r="23" spans="1:38" x14ac:dyDescent="0.2">
      <c r="A23" s="17" t="s">
        <v>14</v>
      </c>
      <c r="B23" s="67">
        <v>4000</v>
      </c>
      <c r="C23" s="69" t="s">
        <v>15</v>
      </c>
      <c r="D23" s="69" t="str">
        <f>IF(OR((B23&lt;1000),(B23&gt;10000)),"Wert prüfen","gültiger Wert")</f>
        <v>gültiger Wert</v>
      </c>
      <c r="E23" s="9"/>
      <c r="F23" s="9"/>
      <c r="G23" s="9"/>
      <c r="H23" s="76" t="s">
        <v>84</v>
      </c>
      <c r="I23" s="71"/>
      <c r="J23" s="13"/>
      <c r="K23" s="9"/>
      <c r="L23" s="9"/>
      <c r="M23" s="9"/>
      <c r="N23" s="14"/>
      <c r="O23" s="81"/>
      <c r="P23" s="81"/>
    </row>
    <row r="24" spans="1:38" x14ac:dyDescent="0.2">
      <c r="A24" s="108" t="s">
        <v>87</v>
      </c>
      <c r="B24" s="176" t="s">
        <v>88</v>
      </c>
      <c r="C24" s="68" t="s">
        <v>89</v>
      </c>
      <c r="D24" s="69" t="str">
        <f>IF(OR(B24="n",B24="a"),"gültiger Wert","Fehleingabe")</f>
        <v>gültiger Wert</v>
      </c>
      <c r="E24" s="15"/>
      <c r="F24" s="15"/>
      <c r="G24" s="15"/>
      <c r="H24" s="109" t="s">
        <v>88</v>
      </c>
      <c r="I24" s="71"/>
      <c r="J24" s="106"/>
      <c r="K24" s="15"/>
      <c r="L24" s="15"/>
      <c r="M24" s="15"/>
      <c r="N24" s="16"/>
      <c r="O24" s="81"/>
      <c r="P24" s="81"/>
    </row>
    <row r="25" spans="1:38" x14ac:dyDescent="0.2">
      <c r="B25" s="3"/>
      <c r="C25" s="3"/>
      <c r="D25" s="6"/>
      <c r="E25" s="6"/>
      <c r="F25" s="3"/>
      <c r="G25" s="3"/>
      <c r="H25" s="3"/>
      <c r="I25" s="3"/>
      <c r="J25" s="6"/>
      <c r="K25" s="6"/>
      <c r="L25" s="5"/>
      <c r="M25" s="81"/>
      <c r="N25" s="81"/>
    </row>
    <row r="26" spans="1:38" x14ac:dyDescent="0.2">
      <c r="B26" s="3"/>
      <c r="C26" s="3"/>
      <c r="D26" s="6"/>
      <c r="E26" s="6"/>
      <c r="F26" s="3"/>
      <c r="G26" s="3"/>
      <c r="H26" s="3"/>
      <c r="I26" s="3"/>
      <c r="J26" s="6"/>
    </row>
    <row r="27" spans="1:38" x14ac:dyDescent="0.2">
      <c r="A27" s="23" t="s">
        <v>0</v>
      </c>
      <c r="B27" s="24" t="s">
        <v>35</v>
      </c>
      <c r="C27" s="26" t="s">
        <v>156</v>
      </c>
      <c r="D27" s="26" t="s">
        <v>158</v>
      </c>
      <c r="E27" s="26" t="s">
        <v>161</v>
      </c>
      <c r="F27" s="26" t="s">
        <v>163</v>
      </c>
    </row>
    <row r="28" spans="1:38" x14ac:dyDescent="0.2">
      <c r="A28" s="21"/>
      <c r="B28" s="21"/>
      <c r="C28" s="21" t="s">
        <v>157</v>
      </c>
      <c r="D28" s="21" t="s">
        <v>159</v>
      </c>
      <c r="E28" s="21" t="s">
        <v>162</v>
      </c>
      <c r="F28" s="21" t="s">
        <v>164</v>
      </c>
    </row>
    <row r="29" spans="1:38" x14ac:dyDescent="0.2">
      <c r="A29" s="21"/>
      <c r="B29" s="21"/>
      <c r="C29" s="21" t="s">
        <v>91</v>
      </c>
      <c r="D29" s="21" t="s">
        <v>129</v>
      </c>
      <c r="E29" s="21" t="s">
        <v>129</v>
      </c>
      <c r="F29" s="21" t="s">
        <v>165</v>
      </c>
    </row>
    <row r="30" spans="1:38" s="1" customFormat="1" x14ac:dyDescent="0.2">
      <c r="A30" s="21"/>
      <c r="B30" s="21"/>
      <c r="C30" s="21"/>
      <c r="D30" s="21" t="s">
        <v>160</v>
      </c>
      <c r="E30" s="21" t="s">
        <v>160</v>
      </c>
      <c r="F30" s="21" t="s">
        <v>157</v>
      </c>
      <c r="G30"/>
    </row>
    <row r="31" spans="1:38" s="1" customFormat="1" x14ac:dyDescent="0.2">
      <c r="A31" s="21"/>
      <c r="B31" s="21"/>
      <c r="C31" s="21"/>
      <c r="D31" s="21"/>
      <c r="E31" s="21"/>
      <c r="F31" s="21" t="s">
        <v>129</v>
      </c>
    </row>
    <row r="32" spans="1:38" s="1" customFormat="1" x14ac:dyDescent="0.2">
      <c r="A32" s="27"/>
      <c r="B32" s="27"/>
      <c r="C32" s="27"/>
      <c r="D32" s="27"/>
      <c r="E32" s="27"/>
      <c r="F32" s="27" t="s">
        <v>160</v>
      </c>
    </row>
    <row r="33" spans="1:35" s="1" customFormat="1" x14ac:dyDescent="0.2">
      <c r="A33" s="21"/>
      <c r="B33" s="21"/>
      <c r="C33" s="21"/>
      <c r="D33" s="21"/>
      <c r="E33" s="21"/>
      <c r="F33" s="21"/>
    </row>
    <row r="34" spans="1:35" s="1" customFormat="1" x14ac:dyDescent="0.2">
      <c r="A34" s="146" t="s">
        <v>211</v>
      </c>
      <c r="B34" s="146"/>
      <c r="C34" s="148">
        <f>Berechnung!C142</f>
        <v>1</v>
      </c>
      <c r="D34" s="148">
        <f>Berechnung!G142</f>
        <v>10.600000000000001</v>
      </c>
      <c r="E34" s="148">
        <f>D34</f>
        <v>10.600000000000001</v>
      </c>
      <c r="F34" s="148">
        <f>E34</f>
        <v>10.600000000000001</v>
      </c>
    </row>
    <row r="35" spans="1:35" s="1" customFormat="1" x14ac:dyDescent="0.2">
      <c r="A35" s="146" t="s">
        <v>219</v>
      </c>
      <c r="B35" s="146"/>
      <c r="C35" s="148"/>
      <c r="D35" s="145">
        <f>Berechnung!G143</f>
        <v>207</v>
      </c>
      <c r="E35" s="148"/>
      <c r="F35" s="148"/>
    </row>
    <row r="36" spans="1:35" s="1" customFormat="1" x14ac:dyDescent="0.2">
      <c r="A36" s="36" t="s">
        <v>90</v>
      </c>
      <c r="B36" s="38"/>
      <c r="C36" s="110"/>
      <c r="D36" s="111">
        <v>55</v>
      </c>
      <c r="E36" s="111">
        <v>55</v>
      </c>
      <c r="F36" s="111">
        <v>35</v>
      </c>
    </row>
    <row r="37" spans="1:35" s="1" customFormat="1" x14ac:dyDescent="0.2">
      <c r="A37" s="36" t="s">
        <v>209</v>
      </c>
      <c r="B37" s="83"/>
      <c r="C37" s="136">
        <v>3</v>
      </c>
      <c r="D37" s="137">
        <v>4</v>
      </c>
      <c r="E37" s="137">
        <v>3.5</v>
      </c>
      <c r="F37" s="137">
        <v>4</v>
      </c>
    </row>
    <row r="38" spans="1:35" s="1" customFormat="1" x14ac:dyDescent="0.2">
      <c r="A38" s="36"/>
      <c r="B38" s="83"/>
      <c r="C38" s="83"/>
      <c r="D38" s="83"/>
      <c r="E38" s="83"/>
      <c r="F38" s="83"/>
    </row>
    <row r="39" spans="1:35" s="1" customFormat="1" x14ac:dyDescent="0.2">
      <c r="A39" s="82" t="s">
        <v>7</v>
      </c>
      <c r="B39" s="84"/>
      <c r="C39" s="84">
        <v>4000</v>
      </c>
      <c r="D39" s="84">
        <v>30000</v>
      </c>
      <c r="E39" s="84">
        <v>35000</v>
      </c>
      <c r="F39" s="84">
        <v>30000</v>
      </c>
    </row>
    <row r="40" spans="1:35" s="1" customFormat="1" x14ac:dyDescent="0.2">
      <c r="A40" s="82" t="s">
        <v>220</v>
      </c>
      <c r="B40" s="145"/>
      <c r="C40" s="145"/>
      <c r="D40" s="38">
        <f>10*ROUND(D35*11.8,0)</f>
        <v>24430</v>
      </c>
      <c r="E40" s="38"/>
      <c r="F40" s="38"/>
    </row>
    <row r="41" spans="1:35" s="1" customFormat="1" x14ac:dyDescent="0.2">
      <c r="A41" s="36" t="s">
        <v>38</v>
      </c>
      <c r="B41" s="38"/>
      <c r="C41" s="38"/>
      <c r="D41" s="84">
        <v>-9330</v>
      </c>
      <c r="E41" s="84">
        <v>-9330</v>
      </c>
      <c r="F41" s="84">
        <v>-9330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1" customFormat="1" x14ac:dyDescent="0.2">
      <c r="A42" s="36" t="s">
        <v>36</v>
      </c>
      <c r="B42" s="38"/>
      <c r="C42" s="38"/>
      <c r="D42" s="38"/>
      <c r="E42" s="38"/>
      <c r="F42" s="38"/>
      <c r="G42" s="3"/>
    </row>
    <row r="43" spans="1:35" s="1" customFormat="1" x14ac:dyDescent="0.2">
      <c r="A43" s="36" t="s">
        <v>37</v>
      </c>
      <c r="B43" s="38"/>
      <c r="C43" s="84"/>
      <c r="D43" s="84"/>
      <c r="E43" s="84"/>
      <c r="F43" s="84"/>
    </row>
    <row r="44" spans="1:35" s="1" customFormat="1" x14ac:dyDescent="0.2">
      <c r="A44" s="36" t="s">
        <v>6</v>
      </c>
      <c r="B44" s="38"/>
      <c r="C44" s="38"/>
      <c r="D44" s="38"/>
      <c r="E44" s="38"/>
      <c r="F44" s="38"/>
    </row>
    <row r="45" spans="1:35" s="1" customFormat="1" x14ac:dyDescent="0.2">
      <c r="A45" s="36" t="s">
        <v>11</v>
      </c>
      <c r="B45" s="38"/>
      <c r="C45" s="38"/>
      <c r="D45" s="38"/>
      <c r="E45" s="38"/>
      <c r="F45" s="38"/>
    </row>
    <row r="46" spans="1:35" s="1" customFormat="1" x14ac:dyDescent="0.2">
      <c r="A46" s="36" t="s">
        <v>8</v>
      </c>
      <c r="B46" s="38"/>
      <c r="C46" s="38"/>
      <c r="D46" s="38"/>
      <c r="E46" s="38"/>
      <c r="F46" s="38"/>
    </row>
    <row r="47" spans="1:35" s="1" customFormat="1" x14ac:dyDescent="0.2">
      <c r="A47" s="36" t="s">
        <v>9</v>
      </c>
      <c r="B47" s="38"/>
      <c r="C47" s="38"/>
      <c r="D47" s="38"/>
      <c r="E47" s="38"/>
      <c r="F47" s="38"/>
    </row>
    <row r="48" spans="1:35" s="1" customFormat="1" x14ac:dyDescent="0.2">
      <c r="A48" s="36" t="s">
        <v>10</v>
      </c>
      <c r="B48" s="38"/>
      <c r="C48" s="38"/>
      <c r="D48" s="84"/>
      <c r="E48" s="84"/>
      <c r="F48" s="84">
        <v>6000</v>
      </c>
    </row>
    <row r="49" spans="1:7" s="1" customFormat="1" x14ac:dyDescent="0.2">
      <c r="A49" s="85" t="s">
        <v>12</v>
      </c>
      <c r="B49" s="86"/>
      <c r="C49" s="86"/>
      <c r="D49" s="86"/>
      <c r="E49" s="86"/>
      <c r="F49" s="86"/>
    </row>
    <row r="50" spans="1:7" s="1" customFormat="1" x14ac:dyDescent="0.2">
      <c r="A50" s="28" t="s">
        <v>1</v>
      </c>
      <c r="B50" s="29">
        <f t="shared" ref="B50" si="0">SUM(B39:B49)</f>
        <v>0</v>
      </c>
      <c r="C50" s="29">
        <f t="shared" ref="C50" si="1">SUM(C39:C49)</f>
        <v>4000</v>
      </c>
      <c r="D50" s="29">
        <f t="shared" ref="D50:F50" si="2">SUM(D39:D49)</f>
        <v>45100</v>
      </c>
      <c r="E50" s="29">
        <f t="shared" si="2"/>
        <v>25670</v>
      </c>
      <c r="F50" s="29">
        <f t="shared" si="2"/>
        <v>26670</v>
      </c>
    </row>
    <row r="51" spans="1:7" s="1" customFormat="1" x14ac:dyDescent="0.2">
      <c r="A51" s="23" t="s">
        <v>226</v>
      </c>
      <c r="B51" s="92"/>
      <c r="C51" s="92"/>
      <c r="D51" s="84">
        <v>30000</v>
      </c>
      <c r="E51" s="84">
        <v>30000</v>
      </c>
      <c r="F51" s="84">
        <v>30000</v>
      </c>
    </row>
    <row r="52" spans="1:7" s="1" customFormat="1" x14ac:dyDescent="0.2">
      <c r="A52" s="23" t="s">
        <v>227</v>
      </c>
      <c r="B52" s="92"/>
      <c r="C52" s="92"/>
      <c r="D52" s="166">
        <v>0.7</v>
      </c>
      <c r="E52" s="166">
        <v>0.7</v>
      </c>
      <c r="F52" s="166">
        <v>0.7</v>
      </c>
    </row>
    <row r="53" spans="1:7" s="1" customFormat="1" x14ac:dyDescent="0.2">
      <c r="A53" s="23" t="s">
        <v>61</v>
      </c>
      <c r="B53" s="92"/>
      <c r="C53" s="92">
        <v>0</v>
      </c>
      <c r="D53" s="92">
        <f>IF($B$24="a",IF(D50-D41&gt;D51,D51,D50-D41),0)</f>
        <v>30000</v>
      </c>
      <c r="E53" s="92">
        <f t="shared" ref="E53:F53" si="3">IF($B$24="a",IF(E50-E41&gt;E51,E51,E50-E41),0)</f>
        <v>30000</v>
      </c>
      <c r="F53" s="92">
        <f t="shared" si="3"/>
        <v>30000</v>
      </c>
    </row>
    <row r="54" spans="1:7" x14ac:dyDescent="0.2">
      <c r="A54" s="23" t="s">
        <v>62</v>
      </c>
      <c r="B54" s="92"/>
      <c r="C54" s="92">
        <f t="shared" ref="C54" si="4">0.25*C53</f>
        <v>0</v>
      </c>
      <c r="D54" s="92">
        <f>D52*D53</f>
        <v>21000</v>
      </c>
      <c r="E54" s="92">
        <f t="shared" ref="E54:F54" si="5">E52*E53</f>
        <v>21000</v>
      </c>
      <c r="F54" s="92">
        <f t="shared" si="5"/>
        <v>21000</v>
      </c>
      <c r="G54" s="1"/>
    </row>
    <row r="55" spans="1:7" x14ac:dyDescent="0.2">
      <c r="A55" s="23" t="s">
        <v>64</v>
      </c>
      <c r="B55" s="92"/>
      <c r="C55" s="92"/>
      <c r="D55" s="92"/>
      <c r="E55" s="92"/>
      <c r="F55" s="92"/>
    </row>
    <row r="56" spans="1:7" x14ac:dyDescent="0.2">
      <c r="A56" s="23" t="s">
        <v>65</v>
      </c>
      <c r="B56" s="92"/>
      <c r="C56" s="79"/>
      <c r="D56" s="79"/>
      <c r="E56" s="79"/>
      <c r="F56" s="79"/>
    </row>
    <row r="57" spans="1:7" x14ac:dyDescent="0.2">
      <c r="A57" s="34" t="s">
        <v>5</v>
      </c>
      <c r="B57" s="78">
        <f>B54+B55+B56</f>
        <v>0</v>
      </c>
      <c r="C57" s="78">
        <f t="shared" ref="C57" si="6">C54+C55+C56</f>
        <v>0</v>
      </c>
      <c r="D57" s="78">
        <f t="shared" ref="D57:F57" si="7">D54+D55+D56</f>
        <v>21000</v>
      </c>
      <c r="E57" s="78">
        <f t="shared" si="7"/>
        <v>21000</v>
      </c>
      <c r="F57" s="78">
        <f t="shared" si="7"/>
        <v>21000</v>
      </c>
    </row>
    <row r="58" spans="1:7" x14ac:dyDescent="0.2">
      <c r="A58" s="21" t="s">
        <v>13</v>
      </c>
      <c r="B58" s="22">
        <f t="shared" ref="B58" si="8">B50-B57</f>
        <v>0</v>
      </c>
      <c r="C58" s="22">
        <f t="shared" ref="C58" si="9">C50-C57</f>
        <v>4000</v>
      </c>
      <c r="D58" s="22">
        <f t="shared" ref="D58:F58" si="10">D50-D57</f>
        <v>24100</v>
      </c>
      <c r="E58" s="22">
        <f t="shared" si="10"/>
        <v>4670</v>
      </c>
      <c r="F58" s="22">
        <f t="shared" si="10"/>
        <v>5670</v>
      </c>
    </row>
    <row r="59" spans="1:7" x14ac:dyDescent="0.2">
      <c r="A59" s="28" t="s">
        <v>45</v>
      </c>
      <c r="B59" s="29">
        <v>0</v>
      </c>
      <c r="C59" s="92">
        <f t="shared" ref="C59" si="11">C58-$B$58</f>
        <v>4000</v>
      </c>
      <c r="D59" s="92">
        <f t="shared" ref="D59:F59" si="12">D58-$B$58</f>
        <v>24100</v>
      </c>
      <c r="E59" s="92">
        <f t="shared" si="12"/>
        <v>4670</v>
      </c>
      <c r="F59" s="92">
        <f t="shared" si="12"/>
        <v>5670</v>
      </c>
    </row>
    <row r="60" spans="1:7" x14ac:dyDescent="0.2">
      <c r="A60" s="23" t="s">
        <v>66</v>
      </c>
      <c r="B60" s="35">
        <f>10*ROUND((B6*10.6+B7+B8*E16+B9*E17+B10-B11)*B13/10,0)</f>
        <v>17520</v>
      </c>
      <c r="C60" s="125">
        <f>B60</f>
        <v>17520</v>
      </c>
      <c r="D60" s="125">
        <f>C60</f>
        <v>17520</v>
      </c>
      <c r="E60" s="125">
        <f t="shared" ref="E60:E61" si="13">C60</f>
        <v>17520</v>
      </c>
      <c r="F60" s="125">
        <f t="shared" ref="F60:F61" si="14">D60</f>
        <v>17520</v>
      </c>
    </row>
    <row r="61" spans="1:7" x14ac:dyDescent="0.2">
      <c r="A61" s="34" t="s">
        <v>67</v>
      </c>
      <c r="B61" s="35">
        <f>B11-B12</f>
        <v>1600</v>
      </c>
      <c r="C61" s="37">
        <f>B61</f>
        <v>1600</v>
      </c>
      <c r="D61" s="37">
        <f>C61</f>
        <v>1600</v>
      </c>
      <c r="E61" s="37">
        <f t="shared" si="13"/>
        <v>1600</v>
      </c>
      <c r="F61" s="37">
        <f t="shared" si="14"/>
        <v>1600</v>
      </c>
    </row>
    <row r="62" spans="1:7" x14ac:dyDescent="0.2">
      <c r="A62" s="82" t="s">
        <v>98</v>
      </c>
      <c r="B62" s="35"/>
      <c r="C62" s="37">
        <f>IF($B$6&gt;0,10*ROUND((10.6*$B$6-B11*10.6*$B$6/($B$69-$B$67))/10,0),0)</f>
        <v>21900</v>
      </c>
      <c r="D62" s="37">
        <f>IF($B$6&gt;0,0*ROUND((10.6*$B$6-0*10.6*$B$6/($B$69-$B$67))/10,0),0)</f>
        <v>0</v>
      </c>
      <c r="E62" s="37">
        <f>IF($B$6&gt;0,0*ROUND((10.6*$B$6-0*10.6*$B$6/($B$69-$B$67))/10,0),0)</f>
        <v>0</v>
      </c>
      <c r="F62" s="37">
        <f>IF($B$6&gt;0,0*ROUND((10.6*$B$6-0*10.6*$B$6/($B$69-$B$67))/10,0),0)</f>
        <v>0</v>
      </c>
    </row>
    <row r="63" spans="1:7" x14ac:dyDescent="0.2">
      <c r="A63" s="36" t="s">
        <v>80</v>
      </c>
      <c r="B63" s="35"/>
      <c r="C63" s="37">
        <f>IF($B$7&gt;0,10*ROUND(($B$7-B11*$B$7/($B$69-$B$67))/10,0),0)</f>
        <v>0</v>
      </c>
      <c r="D63" s="37">
        <f>IF($B$7&gt;0,0*ROUND(($B$7-0*$B$7/($B$69-$B$67))/10,0),0)</f>
        <v>0</v>
      </c>
      <c r="E63" s="37">
        <f t="shared" ref="E63:F66" si="15">IF($B$6&gt;0,0*ROUND((10.6*$B$6-0*10.6*$B$6/($B$69-$B$67))/10,0),0)</f>
        <v>0</v>
      </c>
      <c r="F63" s="37">
        <f t="shared" si="15"/>
        <v>0</v>
      </c>
    </row>
    <row r="64" spans="1:7" x14ac:dyDescent="0.2">
      <c r="A64" s="36" t="s">
        <v>99</v>
      </c>
      <c r="B64" s="35"/>
      <c r="C64" s="37">
        <f>IF($B$8&gt;0,10*ROUND(($E$16*$B$8-B11*$E$16*$B$8/($B$69-$B$67))/10,0),0)</f>
        <v>0</v>
      </c>
      <c r="D64" s="37">
        <f>IF($B$8&gt;0,0*ROUND(($E$16*$B$8-0*$E$16*$B$8/($B$69-$B$67))/10,0),0)</f>
        <v>0</v>
      </c>
      <c r="E64" s="37">
        <f t="shared" si="15"/>
        <v>0</v>
      </c>
      <c r="F64" s="37">
        <f t="shared" si="15"/>
        <v>0</v>
      </c>
    </row>
    <row r="65" spans="1:8" x14ac:dyDescent="0.2">
      <c r="A65" s="36" t="s">
        <v>100</v>
      </c>
      <c r="B65" s="35"/>
      <c r="C65" s="37">
        <f>IF($B$9&gt;0,10*ROUND(($E$17*$B$9-B11*$E$17*$B$9/($B$69-$B$67))/10,0),0)</f>
        <v>0</v>
      </c>
      <c r="D65" s="37">
        <f>IF($B$9&gt;0,0*ROUND(($E$17*$B$9-0*$E$17*$B$9/($B$69-$B$67))/10,0),0)</f>
        <v>0</v>
      </c>
      <c r="E65" s="37">
        <f t="shared" si="15"/>
        <v>0</v>
      </c>
      <c r="F65" s="37">
        <f t="shared" si="15"/>
        <v>0</v>
      </c>
    </row>
    <row r="66" spans="1:8" x14ac:dyDescent="0.2">
      <c r="A66" s="36" t="s">
        <v>101</v>
      </c>
      <c r="B66" s="35"/>
      <c r="C66" s="37">
        <f>IF($B$10&gt;0,10*ROUND(($B$10-B11*$B$10/($B$69-$B$67))/10,0),0)</f>
        <v>0</v>
      </c>
      <c r="D66" s="37">
        <f>IF($B$10&gt;0,0*ROUND(($B$10-0*$B$10/($B$69-$B$67))/10,0),0)</f>
        <v>0</v>
      </c>
      <c r="E66" s="37">
        <f t="shared" si="15"/>
        <v>0</v>
      </c>
      <c r="F66" s="37">
        <f t="shared" si="15"/>
        <v>0</v>
      </c>
    </row>
    <row r="67" spans="1:8" x14ac:dyDescent="0.2">
      <c r="A67" s="36" t="s">
        <v>44</v>
      </c>
      <c r="B67" s="37">
        <f>B23</f>
        <v>4000</v>
      </c>
      <c r="C67" s="37">
        <f>B67</f>
        <v>4000</v>
      </c>
      <c r="D67" s="37">
        <f>C67</f>
        <v>4000</v>
      </c>
      <c r="E67" s="37">
        <f t="shared" ref="E67" si="16">C67</f>
        <v>4000</v>
      </c>
      <c r="F67" s="37">
        <f t="shared" ref="F67" si="17">D67</f>
        <v>4000</v>
      </c>
    </row>
    <row r="68" spans="1:8" x14ac:dyDescent="0.2">
      <c r="A68" s="36" t="s">
        <v>210</v>
      </c>
      <c r="B68" s="37"/>
      <c r="C68" s="37">
        <f>IF(B11=0,0,10*ROUND(C61*(0.77*B12/B11+1)/(C37*10),0))</f>
        <v>800</v>
      </c>
      <c r="D68" s="37">
        <f>10*ROUND((D60+D61)/(10*D37),0)</f>
        <v>4780</v>
      </c>
      <c r="E68" s="37">
        <f t="shared" ref="E68" si="18">10*ROUND((E60+E61)/(10*E37),0)</f>
        <v>5460</v>
      </c>
      <c r="F68" s="37">
        <f>10*ROUND((F60+F61)/(10*F37),0)</f>
        <v>4780</v>
      </c>
    </row>
    <row r="69" spans="1:8" x14ac:dyDescent="0.2">
      <c r="A69" s="36" t="s">
        <v>18</v>
      </c>
      <c r="B69" s="37">
        <f>10*ROUND((B6*10.6+B7+B8*$E$16+B9*$E$17+B10+B67)/10,0)</f>
        <v>30500</v>
      </c>
      <c r="C69" s="37">
        <f>10*ROUND(SUM(C62:C68)/10,0)</f>
        <v>26700</v>
      </c>
      <c r="D69" s="37">
        <f>10*ROUND(SUM(D62:D68)/10,0)</f>
        <v>8780</v>
      </c>
      <c r="E69" s="37">
        <f t="shared" ref="E69:F69" si="19">10*ROUND(SUM(E62:E68)/10,0)</f>
        <v>9460</v>
      </c>
      <c r="F69" s="37">
        <f t="shared" si="19"/>
        <v>8780</v>
      </c>
    </row>
    <row r="70" spans="1:8" x14ac:dyDescent="0.2">
      <c r="A70" s="36" t="s">
        <v>41</v>
      </c>
      <c r="B70" s="38">
        <f>10*ROUND((B6*$B$14+B7*$B$15/100+B8*$B$16+B9*$B$17+B10*$B$19/100+B67*$B$18/100)/10,0)</f>
        <v>5100</v>
      </c>
      <c r="C70" s="38">
        <f>10*ROUND((C62*$B$14/10.6+C63*$B$15/100+C64*$G$16/100+C65*$G$17/100+C66*$B$19/100+C67*$B$18/100+C68*$B$20/100)/10,0)</f>
        <v>4720</v>
      </c>
      <c r="D70" s="38">
        <f>10*ROUND((D62*$B$14/10.6+D63*$B$15/100+D64*$G$16/100+D65*$G$17/100+D66*$B$19/100+D67*$B$18/100+D68*$B$20/100)/10,0)</f>
        <v>2940</v>
      </c>
      <c r="E70" s="38">
        <f t="shared" ref="E70:F70" si="20">10*ROUND((E62*$B$14/10.6+E63*$B$15/100+E64*$G$16/100+E65*$G$17/100+E66*$B$19/100+E67*$B$18/100+E68*$B$20/100)/10,0)</f>
        <v>3130</v>
      </c>
      <c r="F70" s="38">
        <f t="shared" si="20"/>
        <v>2940</v>
      </c>
    </row>
    <row r="71" spans="1:8" x14ac:dyDescent="0.2">
      <c r="A71" s="21" t="s">
        <v>42</v>
      </c>
      <c r="B71" s="77">
        <v>200</v>
      </c>
      <c r="C71" s="77">
        <f>30+B71</f>
        <v>230</v>
      </c>
      <c r="D71" s="77">
        <v>50</v>
      </c>
      <c r="E71" s="77">
        <v>50</v>
      </c>
      <c r="F71" s="77">
        <v>50</v>
      </c>
    </row>
    <row r="72" spans="1:8" x14ac:dyDescent="0.2">
      <c r="A72" s="39" t="s">
        <v>43</v>
      </c>
      <c r="B72" s="40">
        <f t="shared" ref="B72:C72" si="21">B70+B71</f>
        <v>5300</v>
      </c>
      <c r="C72" s="40">
        <f t="shared" si="21"/>
        <v>4950</v>
      </c>
      <c r="D72" s="40">
        <f t="shared" ref="D72:F72" si="22">D70+D71</f>
        <v>2990</v>
      </c>
      <c r="E72" s="40">
        <f t="shared" si="22"/>
        <v>3180</v>
      </c>
      <c r="F72" s="40">
        <f t="shared" si="22"/>
        <v>2990</v>
      </c>
    </row>
    <row r="73" spans="1:8" x14ac:dyDescent="0.2">
      <c r="A73" s="28" t="s">
        <v>2</v>
      </c>
      <c r="B73" s="41">
        <v>0</v>
      </c>
      <c r="C73" s="41">
        <f>-C59-20*(C72-$B$72)</f>
        <v>3000</v>
      </c>
      <c r="D73" s="41">
        <f>-D59-20*(D72-$B$72)</f>
        <v>22100</v>
      </c>
      <c r="E73" s="41">
        <f>-E59-20*(E72-$B$72)</f>
        <v>37730</v>
      </c>
      <c r="F73" s="41">
        <f>-F59-20*(F72-$B$72)</f>
        <v>40530</v>
      </c>
    </row>
    <row r="74" spans="1:8" x14ac:dyDescent="0.2">
      <c r="A74" s="28" t="s">
        <v>16</v>
      </c>
      <c r="B74" s="80"/>
      <c r="C74" s="43">
        <f>IF((($B$72-C72)=0),IF((C59&lt;=0),"sofort","nie"),IF((C59/($B$72-C72)&lt;=0),IF((C59&lt;=0),"sofort","nie"),C59/($B$72-C72)))</f>
        <v>11.428571428571429</v>
      </c>
      <c r="D74" s="43">
        <f>IF((($B$72-D72)=0),IF((D59&lt;=0),"sofort","nie"),IF((D59/($B$72-D72)&lt;=0),IF((D59&lt;=0),"sofort","nie"),D59/($B$72-D72)))</f>
        <v>10.432900432900434</v>
      </c>
      <c r="E74" s="43">
        <f>IF((($B$72-E72)=0),IF((E59&lt;=0),"sofort","nie"),IF((E59/($B$72-E72)&lt;=0),IF((E59&lt;=0),"sofort","nie"),E59/($B$72-E72)))</f>
        <v>2.2028301886792452</v>
      </c>
      <c r="F74" s="43">
        <f>IF((($B$72-F72)=0),IF((F59&lt;=0),"sofort","nie"),IF((F59/($B$72-F72)&lt;=0),IF((F59&lt;=0),"sofort","nie"),F59/($B$72-F72)))</f>
        <v>2.4545454545454546</v>
      </c>
    </row>
    <row r="75" spans="1:8" x14ac:dyDescent="0.2">
      <c r="A75" s="28" t="s">
        <v>17</v>
      </c>
      <c r="B75" s="44">
        <f>ROUND((B6*10.6*$K$12+B7*$K$13+B8*$E$16*$K$15+B9*$E$17*$K$16+B10*$K$14+B67*$K$14)/1000,1)</f>
        <v>10.5</v>
      </c>
      <c r="C75" s="44">
        <f>ROUND((C62*$K$12+C63*$K$13+C64*$K$15+C65*$K$16+C66*$K$14+(C67+C68)*$K$14)/1000,1)</f>
        <v>9.5</v>
      </c>
      <c r="D75" s="44">
        <f>ROUND((D62*$K$12+D63*$K$13+D64*$K$15+D65*$K$16+D66*$K$14+(D67+D68)*$K$14)/1000,1)</f>
        <v>4.9000000000000004</v>
      </c>
      <c r="E75" s="44">
        <f t="shared" ref="E75:F75" si="23">ROUND((E62*$K$12+E63*$K$13+E64*$K$15+E65*$K$16+E66*$K$14+(E67+E68)*$K$14)/1000,1)</f>
        <v>5.3</v>
      </c>
      <c r="F75" s="44">
        <f t="shared" si="23"/>
        <v>4.9000000000000004</v>
      </c>
    </row>
    <row r="76" spans="1:8" x14ac:dyDescent="0.2">
      <c r="A76" s="28" t="s">
        <v>3</v>
      </c>
      <c r="B76" s="45">
        <v>0</v>
      </c>
      <c r="C76" s="114">
        <f>ROUND(100*($B$69-C69)/($B$69-$B$67),1)/100</f>
        <v>0.14300000000000002</v>
      </c>
      <c r="D76" s="114">
        <f>ROUND(100*($B$69-D69)/($B$69-$B$67),1)/100</f>
        <v>0.82</v>
      </c>
      <c r="E76" s="114">
        <f>ROUND(100*($B$69-E69)/($B$69-$B$67),1)/100</f>
        <v>0.79400000000000004</v>
      </c>
      <c r="F76" s="114">
        <f>ROUND(100*($B$69-F69)/($B$69-$B$67),1)/100</f>
        <v>0.82</v>
      </c>
    </row>
    <row r="77" spans="1:8" x14ac:dyDescent="0.2">
      <c r="A77" s="28" t="s">
        <v>4</v>
      </c>
      <c r="B77" s="45">
        <v>0</v>
      </c>
      <c r="C77" s="45">
        <v>0</v>
      </c>
      <c r="D77" s="45">
        <v>0</v>
      </c>
      <c r="E77" s="45">
        <v>0</v>
      </c>
      <c r="F77" s="45">
        <v>0</v>
      </c>
    </row>
    <row r="78" spans="1:8" x14ac:dyDescent="0.2">
      <c r="A78" s="28" t="s">
        <v>69</v>
      </c>
      <c r="B78" s="45">
        <v>0</v>
      </c>
      <c r="C78" s="114">
        <f>ROUND(100*($B$69-C69)/$B$69,1)/100</f>
        <v>0.125</v>
      </c>
      <c r="D78" s="114">
        <f t="shared" ref="D78:F78" si="24">ROUND(100*($B$69-D69)/$B$69,1)/100</f>
        <v>0.71200000000000008</v>
      </c>
      <c r="E78" s="114">
        <f t="shared" si="24"/>
        <v>0.69</v>
      </c>
      <c r="F78" s="114">
        <f t="shared" si="24"/>
        <v>0.71200000000000008</v>
      </c>
    </row>
    <row r="79" spans="1:8" x14ac:dyDescent="0.2">
      <c r="A79" s="167" t="s">
        <v>234</v>
      </c>
      <c r="B79" s="128">
        <f>B69/$B$22</f>
        <v>254.16666666666666</v>
      </c>
      <c r="C79" s="128">
        <f t="shared" ref="C79:F79" si="25">C69/$B$22</f>
        <v>222.5</v>
      </c>
      <c r="D79" s="128">
        <f t="shared" si="25"/>
        <v>73.166666666666671</v>
      </c>
      <c r="E79" s="128">
        <f t="shared" si="25"/>
        <v>78.833333333333329</v>
      </c>
      <c r="F79" s="128">
        <f t="shared" si="25"/>
        <v>73.166666666666671</v>
      </c>
    </row>
    <row r="80" spans="1:8" x14ac:dyDescent="0.2">
      <c r="A80" s="1"/>
      <c r="B80" s="4"/>
      <c r="C80" s="4"/>
      <c r="D80" s="4"/>
      <c r="E80" s="4"/>
      <c r="F80" s="4"/>
      <c r="G80" s="4"/>
      <c r="H80" s="4"/>
    </row>
    <row r="81" spans="2:16" x14ac:dyDescent="0.2">
      <c r="D81" s="6"/>
      <c r="E81" s="6"/>
      <c r="F81" s="6"/>
      <c r="G81" s="6"/>
      <c r="H81" s="6"/>
      <c r="L81" s="3"/>
    </row>
    <row r="82" spans="2:16" x14ac:dyDescent="0.2">
      <c r="B82" s="57"/>
      <c r="C82" s="48" t="s">
        <v>46</v>
      </c>
      <c r="D82" s="48"/>
      <c r="E82" s="48"/>
      <c r="F82" s="58"/>
      <c r="G82" s="59" t="s">
        <v>47</v>
      </c>
      <c r="H82" s="48"/>
      <c r="I82" s="49"/>
    </row>
    <row r="83" spans="2:16" x14ac:dyDescent="0.2">
      <c r="B83" s="60"/>
      <c r="C83" t="s">
        <v>48</v>
      </c>
      <c r="F83" s="61"/>
      <c r="G83" t="s">
        <v>49</v>
      </c>
      <c r="I83" s="52"/>
    </row>
    <row r="84" spans="2:16" x14ac:dyDescent="0.2">
      <c r="B84" s="62"/>
      <c r="C84" t="s">
        <v>50</v>
      </c>
      <c r="F84" s="63"/>
      <c r="G84" t="s">
        <v>51</v>
      </c>
      <c r="I84" s="52"/>
    </row>
    <row r="85" spans="2:16" x14ac:dyDescent="0.2">
      <c r="B85" s="64"/>
      <c r="C85" s="55" t="s">
        <v>52</v>
      </c>
      <c r="D85" s="55"/>
      <c r="E85" s="55"/>
      <c r="F85" s="55"/>
      <c r="G85" s="55"/>
      <c r="H85" s="55"/>
      <c r="I85" s="56"/>
    </row>
    <row r="87" spans="2:16" x14ac:dyDescent="0.2">
      <c r="B87" s="107"/>
      <c r="C87" s="47" t="s">
        <v>60</v>
      </c>
      <c r="D87" s="48"/>
      <c r="E87" s="48"/>
      <c r="F87" s="49"/>
      <c r="P87" s="99"/>
    </row>
    <row r="88" spans="2:16" x14ac:dyDescent="0.2">
      <c r="B88" s="50" t="s">
        <v>56</v>
      </c>
      <c r="C88" s="51" t="s">
        <v>58</v>
      </c>
      <c r="F88" s="52"/>
    </row>
    <row r="89" spans="2:16" x14ac:dyDescent="0.2">
      <c r="B89" s="53" t="s">
        <v>57</v>
      </c>
      <c r="C89" s="54" t="s">
        <v>59</v>
      </c>
      <c r="D89" s="55"/>
      <c r="E89" s="55"/>
      <c r="F89" s="56"/>
    </row>
    <row r="91" spans="2:16" x14ac:dyDescent="0.2">
      <c r="B91" t="s">
        <v>235</v>
      </c>
    </row>
    <row r="93" spans="2:16" x14ac:dyDescent="0.2">
      <c r="B93" s="170" t="s">
        <v>236</v>
      </c>
      <c r="C93" s="171" t="s">
        <v>236</v>
      </c>
      <c r="D93" s="172" t="s">
        <v>237</v>
      </c>
      <c r="E93" s="173" t="s">
        <v>237</v>
      </c>
      <c r="F93" s="174" t="s">
        <v>238</v>
      </c>
    </row>
    <row r="94" spans="2:16" x14ac:dyDescent="0.2">
      <c r="B94" s="168"/>
      <c r="C94" s="171" t="s">
        <v>239</v>
      </c>
      <c r="D94" s="172"/>
      <c r="E94" s="173" t="s">
        <v>240</v>
      </c>
      <c r="F94" s="169"/>
    </row>
  </sheetData>
  <sheetProtection algorithmName="SHA-512" hashValue="VhvlP3/pDiuFMcfq8Q5HqOP+H4BPiu+ku0kMMrVldUWcvI05cFGVTy7FPelC5Lv2e17TI3kB+77hvIe734cpJA==" saltValue="xlt8B10Fhko+PA1y70AFKQ==" spinCount="100000" sheet="1" objects="1" scenarios="1" selectLockedCells="1"/>
  <conditionalFormatting sqref="B6:B12">
    <cfRule type="cellIs" dxfId="27" priority="127" stopIfTrue="1" operator="notBetween">
      <formula>0</formula>
      <formula>100000</formula>
    </cfRule>
  </conditionalFormatting>
  <conditionalFormatting sqref="B13">
    <cfRule type="cellIs" dxfId="26" priority="17" operator="notBetween">
      <formula>0.5</formula>
      <formula>1</formula>
    </cfRule>
  </conditionalFormatting>
  <conditionalFormatting sqref="B14">
    <cfRule type="cellIs" dxfId="25" priority="54" stopIfTrue="1" operator="notBetween">
      <formula>0</formula>
      <formula>10</formula>
    </cfRule>
  </conditionalFormatting>
  <conditionalFormatting sqref="B15">
    <cfRule type="cellIs" dxfId="24" priority="22" operator="notBetween">
      <formula>3</formula>
      <formula>100</formula>
    </cfRule>
  </conditionalFormatting>
  <conditionalFormatting sqref="B16">
    <cfRule type="cellIs" dxfId="23" priority="15" stopIfTrue="1" operator="notBetween">
      <formula>10</formula>
      <formula>1000</formula>
    </cfRule>
  </conditionalFormatting>
  <conditionalFormatting sqref="B17">
    <cfRule type="cellIs" dxfId="22" priority="14" stopIfTrue="1" operator="notBetween">
      <formula>150</formula>
      <formula>1000</formula>
    </cfRule>
  </conditionalFormatting>
  <conditionalFormatting sqref="B19:B20">
    <cfRule type="cellIs" dxfId="21" priority="10" operator="notBetween">
      <formula>10</formula>
      <formula>200</formula>
    </cfRule>
  </conditionalFormatting>
  <conditionalFormatting sqref="B21">
    <cfRule type="cellIs" dxfId="20" priority="2" operator="notBetween">
      <formula>500</formula>
      <formula>1500</formula>
    </cfRule>
  </conditionalFormatting>
  <conditionalFormatting sqref="B22">
    <cfRule type="cellIs" dxfId="0" priority="86" stopIfTrue="1" operator="notBetween">
      <formula>10</formula>
      <formula>1000</formula>
    </cfRule>
  </conditionalFormatting>
  <conditionalFormatting sqref="B23">
    <cfRule type="cellIs" dxfId="19" priority="85" stopIfTrue="1" operator="notBetween">
      <formula>1000</formula>
      <formula>10000</formula>
    </cfRule>
  </conditionalFormatting>
  <conditionalFormatting sqref="B87">
    <cfRule type="cellIs" dxfId="18" priority="20" stopIfTrue="1" operator="notBetween">
      <formula>60</formula>
      <formula>140</formula>
    </cfRule>
  </conditionalFormatting>
  <conditionalFormatting sqref="B59:F59">
    <cfRule type="cellIs" dxfId="17" priority="25" operator="lessThan">
      <formula>0</formula>
    </cfRule>
    <cfRule type="cellIs" dxfId="16" priority="26" stopIfTrue="1" operator="lessThanOrEqual">
      <formula>5000</formula>
    </cfRule>
  </conditionalFormatting>
  <conditionalFormatting sqref="B72:F72">
    <cfRule type="cellIs" dxfId="15" priority="95" operator="lessThanOrEqual">
      <formula>1500</formula>
    </cfRule>
    <cfRule type="cellIs" dxfId="14" priority="96" operator="greaterThan">
      <formula>$B$72</formula>
    </cfRule>
  </conditionalFormatting>
  <conditionalFormatting sqref="B73:F73">
    <cfRule type="cellIs" dxfId="13" priority="47" stopIfTrue="1" operator="greaterThanOrEqual">
      <formula>5000</formula>
    </cfRule>
  </conditionalFormatting>
  <conditionalFormatting sqref="B75:F75">
    <cfRule type="cellIs" dxfId="12" priority="101" operator="lessThanOrEqual">
      <formula>2</formula>
    </cfRule>
    <cfRule type="cellIs" dxfId="11" priority="102" operator="greaterThan">
      <formula>$B$75</formula>
    </cfRule>
  </conditionalFormatting>
  <conditionalFormatting sqref="B76:F76 C78:F78">
    <cfRule type="cellIs" dxfId="10" priority="39" stopIfTrue="1" operator="greaterThanOrEqual">
      <formula>0.5</formula>
    </cfRule>
  </conditionalFormatting>
  <conditionalFormatting sqref="B77:F77 B78 B80:H80">
    <cfRule type="cellIs" dxfId="9" priority="38" stopIfTrue="1" operator="greaterThanOrEqual">
      <formula>0.5</formula>
    </cfRule>
  </conditionalFormatting>
  <conditionalFormatting sqref="B79:F79">
    <cfRule type="cellIs" dxfId="8" priority="3" operator="greaterThan">
      <formula>220</formula>
    </cfRule>
    <cfRule type="cellIs" dxfId="7" priority="4" operator="between">
      <formula>180</formula>
      <formula>220</formula>
    </cfRule>
    <cfRule type="cellIs" dxfId="6" priority="5" operator="between">
      <formula>100</formula>
      <formula>180</formula>
    </cfRule>
    <cfRule type="cellIs" dxfId="5" priority="6" operator="between">
      <formula>80</formula>
      <formula>100</formula>
    </cfRule>
    <cfRule type="cellIs" dxfId="4" priority="7" operator="lessThan">
      <formula>80</formula>
    </cfRule>
  </conditionalFormatting>
  <conditionalFormatting sqref="C74:F74">
    <cfRule type="expression" dxfId="3" priority="171">
      <formula>OR(IF(C$59&gt;0,C$74&lt;=10,C$74&gt;30),C$73="sofort")</formula>
    </cfRule>
    <cfRule type="expression" dxfId="2" priority="172" stopIfTrue="1">
      <formula>C$59&lt;0</formula>
    </cfRule>
  </conditionalFormatting>
  <conditionalFormatting sqref="B18">
    <cfRule type="cellIs" dxfId="1" priority="1" operator="notBetween">
      <formula>10</formula>
      <formula>200</formula>
    </cfRule>
  </conditionalFormatting>
  <pageMargins left="0.39370078740157483" right="0.39370078740157483" top="0.98425196850393704" bottom="0.98425196850393704" header="0.51181102362204722" footer="0.51181102362204722"/>
  <pageSetup paperSize="9" scale="43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N143"/>
  <sheetViews>
    <sheetView topLeftCell="A112" workbookViewId="0">
      <selection activeCell="C146" sqref="C146"/>
    </sheetView>
  </sheetViews>
  <sheetFormatPr baseColWidth="10" defaultRowHeight="12.75" x14ac:dyDescent="0.2"/>
  <cols>
    <col min="1" max="1" width="22.7109375" customWidth="1"/>
    <col min="3" max="3" width="12.42578125" bestFit="1" customWidth="1"/>
  </cols>
  <sheetData>
    <row r="1" spans="1:5" x14ac:dyDescent="0.2">
      <c r="A1" s="51" t="s">
        <v>95</v>
      </c>
      <c r="E1" s="51" t="s">
        <v>92</v>
      </c>
    </row>
    <row r="3" spans="1:5" x14ac:dyDescent="0.2">
      <c r="A3" s="51" t="s">
        <v>94</v>
      </c>
      <c r="B3" t="e">
        <f>'Haustechnikvarianten berechnen'!#REF!</f>
        <v>#REF!</v>
      </c>
      <c r="E3" t="e">
        <f>'Haustechnikvarianten berechnen'!#REF!</f>
        <v>#REF!</v>
      </c>
    </row>
    <row r="4" spans="1:5" x14ac:dyDescent="0.2">
      <c r="A4" s="51" t="s">
        <v>102</v>
      </c>
      <c r="B4" s="102" t="e">
        <f>'Haustechnikvarianten berechnen'!#REF!/1.1</f>
        <v>#REF!</v>
      </c>
      <c r="E4" s="102" t="e">
        <f>'Haustechnikvarianten berechnen'!#REF!/1.1</f>
        <v>#REF!</v>
      </c>
    </row>
    <row r="5" spans="1:5" x14ac:dyDescent="0.2">
      <c r="A5" s="51" t="s">
        <v>105</v>
      </c>
      <c r="B5" s="102">
        <f>'Haustechnikvarianten berechnen'!B21</f>
        <v>1000</v>
      </c>
      <c r="E5" s="102">
        <f>B5</f>
        <v>1000</v>
      </c>
    </row>
    <row r="6" spans="1:5" x14ac:dyDescent="0.2">
      <c r="A6" s="51" t="s">
        <v>107</v>
      </c>
      <c r="B6" s="102">
        <f>'Haustechnikvarianten berechnen'!B11</f>
        <v>4600</v>
      </c>
      <c r="E6" s="102">
        <f>B6</f>
        <v>4600</v>
      </c>
    </row>
    <row r="7" spans="1:5" x14ac:dyDescent="0.2">
      <c r="A7" s="51" t="s">
        <v>96</v>
      </c>
      <c r="B7" t="e">
        <f>10*ROUND((10*B3+340)/10,0)</f>
        <v>#REF!</v>
      </c>
      <c r="E7" t="e">
        <f>10*ROUND(1.3*(10*E3+340)/10,0)</f>
        <v>#REF!</v>
      </c>
    </row>
    <row r="8" spans="1:5" x14ac:dyDescent="0.2">
      <c r="A8" s="51" t="s">
        <v>97</v>
      </c>
      <c r="B8" t="e">
        <f>10*ROUND(B3*B4*B5/1000*B7/10,0)</f>
        <v>#REF!</v>
      </c>
      <c r="E8" t="e">
        <f>10*ROUND(E3*E4*E5/1000*E7/10,0)</f>
        <v>#REF!</v>
      </c>
    </row>
    <row r="9" spans="1:5" x14ac:dyDescent="0.2">
      <c r="A9" s="51" t="s">
        <v>106</v>
      </c>
      <c r="B9" t="e">
        <f>IF(B8&gt;0.7*B6,B6*0.7,B8)</f>
        <v>#REF!</v>
      </c>
      <c r="E9" t="e">
        <f>IF(E8&gt;0.7*E6,E6*0.7,E8)</f>
        <v>#REF!</v>
      </c>
    </row>
    <row r="12" spans="1:5" x14ac:dyDescent="0.2">
      <c r="A12" s="51" t="s">
        <v>108</v>
      </c>
      <c r="E12" s="51" t="s">
        <v>92</v>
      </c>
    </row>
    <row r="14" spans="1:5" x14ac:dyDescent="0.2">
      <c r="A14" s="51" t="s">
        <v>94</v>
      </c>
      <c r="C14" t="e">
        <f>'Haustechnikvarianten berechnen'!#REF!</f>
        <v>#REF!</v>
      </c>
      <c r="E14" t="e">
        <f>'Haustechnikvarianten berechnen'!#REF!</f>
        <v>#REF!</v>
      </c>
    </row>
    <row r="15" spans="1:5" x14ac:dyDescent="0.2">
      <c r="A15" s="51" t="s">
        <v>102</v>
      </c>
      <c r="C15" s="4" t="e">
        <f>'Haustechnikvarianten berechnen'!#REF!/1.1</f>
        <v>#REF!</v>
      </c>
      <c r="E15" s="4" t="e">
        <f>'Haustechnikvarianten berechnen'!#REF!/1.1</f>
        <v>#REF!</v>
      </c>
    </row>
    <row r="16" spans="1:5" x14ac:dyDescent="0.2">
      <c r="A16" s="51" t="s">
        <v>105</v>
      </c>
      <c r="C16" s="102">
        <f>B5</f>
        <v>1000</v>
      </c>
      <c r="E16" s="102">
        <f>C16</f>
        <v>1000</v>
      </c>
    </row>
    <row r="17" spans="1:5" x14ac:dyDescent="0.2">
      <c r="A17" s="51" t="s">
        <v>107</v>
      </c>
      <c r="C17" s="102">
        <f>B6-'Haustechnikvarianten berechnen'!B12</f>
        <v>1600</v>
      </c>
      <c r="E17" s="102">
        <f>C17</f>
        <v>1600</v>
      </c>
    </row>
    <row r="18" spans="1:5" x14ac:dyDescent="0.2">
      <c r="A18" s="51" t="s">
        <v>112</v>
      </c>
      <c r="C18" s="102">
        <f>'Haustechnikvarianten berechnen'!B60</f>
        <v>17520</v>
      </c>
      <c r="E18" s="102">
        <f>C18</f>
        <v>17520</v>
      </c>
    </row>
    <row r="19" spans="1:5" x14ac:dyDescent="0.2">
      <c r="A19" s="51" t="s">
        <v>109</v>
      </c>
      <c r="C19" t="e">
        <f>'Haustechnikvarianten berechnen'!#REF!</f>
        <v>#REF!</v>
      </c>
      <c r="E19" t="e">
        <f>'Haustechnikvarianten berechnen'!#REF!</f>
        <v>#REF!</v>
      </c>
    </row>
    <row r="20" spans="1:5" x14ac:dyDescent="0.2">
      <c r="A20" s="51" t="s">
        <v>96</v>
      </c>
      <c r="C20" t="e">
        <f>IF(C14&lt;=12,360,10*ROUND((400 -90*C14/27)/10,0))</f>
        <v>#REF!</v>
      </c>
      <c r="E20" t="e">
        <f>IF(E14&lt;=12,360,10*ROUND((400 -90*E14/27)/10,0))</f>
        <v>#REF!</v>
      </c>
    </row>
    <row r="21" spans="1:5" x14ac:dyDescent="0.2">
      <c r="A21" s="51" t="s">
        <v>126</v>
      </c>
      <c r="C21" t="e">
        <f>IF(C17&gt;=3200,IF(C14&lt;20,10*ROUND((C20-30+0.01875*C17)/10,0),C20),C20)</f>
        <v>#REF!</v>
      </c>
      <c r="E21" t="e">
        <f>IF(E17&gt;=3200,IF(E14&lt;20,10*ROUND((E20-30+0.01875*E17)/10,0),E20),E20)</f>
        <v>#REF!</v>
      </c>
    </row>
    <row r="22" spans="1:5" x14ac:dyDescent="0.2">
      <c r="A22" s="51" t="s">
        <v>127</v>
      </c>
      <c r="C22" t="e">
        <f>IF(C18&lt;5000,10*ROUND((C20-26.666+2.222*C14)/10,0),C21)</f>
        <v>#REF!</v>
      </c>
      <c r="E22" t="e">
        <f>IF(E18&lt;5000,10*ROUND((E20-26.666+2.222*E14)/10,0),E21)</f>
        <v>#REF!</v>
      </c>
    </row>
    <row r="23" spans="1:5" x14ac:dyDescent="0.2">
      <c r="A23" s="51" t="s">
        <v>124</v>
      </c>
      <c r="C23" t="e">
        <f>10*ROUND((-1.428*C19+C22+50)/10,0)</f>
        <v>#REF!</v>
      </c>
      <c r="E23" t="e">
        <f>10*ROUND((-1.428*E19+E22+50)/10,0)</f>
        <v>#REF!</v>
      </c>
    </row>
    <row r="24" spans="1:5" x14ac:dyDescent="0.2">
      <c r="A24" s="51" t="s">
        <v>97</v>
      </c>
      <c r="C24" t="e">
        <f>10*ROUND(C14*C15*C16/1000*C23/10,0)</f>
        <v>#REF!</v>
      </c>
      <c r="E24" t="e">
        <f>10*ROUND(1.2*E14*E15*E16/1000*E23/10,0)</f>
        <v>#REF!</v>
      </c>
    </row>
    <row r="25" spans="1:5" x14ac:dyDescent="0.2">
      <c r="A25" s="51" t="s">
        <v>106</v>
      </c>
      <c r="C25" t="e">
        <f>IF(C24&gt;0.9*(C17+C18),0.9*(C17+C18),C24)</f>
        <v>#REF!</v>
      </c>
      <c r="E25" t="e">
        <f>IF(E24&gt;0.9*(E17+E18),0.9*(E17+E18),E24)</f>
        <v>#REF!</v>
      </c>
    </row>
    <row r="27" spans="1:5" x14ac:dyDescent="0.2">
      <c r="A27" s="51" t="s">
        <v>93</v>
      </c>
    </row>
    <row r="29" spans="1:5" x14ac:dyDescent="0.2">
      <c r="A29" s="51" t="s">
        <v>94</v>
      </c>
      <c r="C29" t="e">
        <f>'Haustechnikvarianten berechnen'!#REF!</f>
        <v>#REF!</v>
      </c>
    </row>
    <row r="30" spans="1:5" x14ac:dyDescent="0.2">
      <c r="A30" s="51" t="s">
        <v>102</v>
      </c>
      <c r="C30" s="4" t="e">
        <f>'Haustechnikvarianten berechnen'!#REF!/1.1</f>
        <v>#REF!</v>
      </c>
    </row>
    <row r="31" spans="1:5" x14ac:dyDescent="0.2">
      <c r="A31" s="51" t="s">
        <v>105</v>
      </c>
      <c r="C31" s="102">
        <f>C16</f>
        <v>1000</v>
      </c>
    </row>
    <row r="32" spans="1:5" x14ac:dyDescent="0.2">
      <c r="A32" s="51" t="s">
        <v>112</v>
      </c>
      <c r="C32" s="102">
        <f>C18</f>
        <v>17520</v>
      </c>
    </row>
    <row r="33" spans="1:8" x14ac:dyDescent="0.2">
      <c r="A33" s="51" t="s">
        <v>96</v>
      </c>
      <c r="C33">
        <f>IF(C32&gt;=18100,440,IF(C32&gt;=11000,10*ROUND((440-80*(11300/C32)^2)/10,0),370))</f>
        <v>410</v>
      </c>
    </row>
    <row r="34" spans="1:8" x14ac:dyDescent="0.2">
      <c r="A34" s="51" t="s">
        <v>97</v>
      </c>
      <c r="C34" t="e">
        <f>10*ROUND(C29*C30*C31/1000*C33/10,0)</f>
        <v>#REF!</v>
      </c>
    </row>
    <row r="35" spans="1:8" x14ac:dyDescent="0.2">
      <c r="A35" s="51" t="s">
        <v>106</v>
      </c>
      <c r="C35" t="e">
        <f>IF(C34&gt;C32,C32,C34)</f>
        <v>#REF!</v>
      </c>
    </row>
    <row r="38" spans="1:8" x14ac:dyDescent="0.2">
      <c r="A38" t="s">
        <v>110</v>
      </c>
    </row>
    <row r="39" spans="1:8" x14ac:dyDescent="0.2">
      <c r="A39" t="s">
        <v>111</v>
      </c>
      <c r="C39">
        <v>1600</v>
      </c>
      <c r="D39">
        <v>3200</v>
      </c>
      <c r="E39">
        <v>0</v>
      </c>
      <c r="H39" s="113">
        <v>3200</v>
      </c>
    </row>
    <row r="40" spans="1:8" x14ac:dyDescent="0.2">
      <c r="A40" t="s">
        <v>112</v>
      </c>
      <c r="C40">
        <v>18100</v>
      </c>
      <c r="D40">
        <v>11300</v>
      </c>
      <c r="E40">
        <v>1800</v>
      </c>
      <c r="F40">
        <v>0</v>
      </c>
      <c r="H40" s="113">
        <v>11000</v>
      </c>
    </row>
    <row r="41" spans="1:8" x14ac:dyDescent="0.2">
      <c r="A41" t="s">
        <v>113</v>
      </c>
      <c r="C41">
        <v>35</v>
      </c>
      <c r="D41">
        <v>70</v>
      </c>
      <c r="H41" s="113">
        <v>35</v>
      </c>
    </row>
    <row r="42" spans="1:8" x14ac:dyDescent="0.2">
      <c r="A42" t="s">
        <v>114</v>
      </c>
      <c r="C42" t="s">
        <v>115</v>
      </c>
      <c r="D42" t="s">
        <v>116</v>
      </c>
      <c r="E42" t="s">
        <v>117</v>
      </c>
    </row>
    <row r="43" spans="1:8" x14ac:dyDescent="0.2">
      <c r="A43" t="s">
        <v>94</v>
      </c>
      <c r="C43">
        <v>3</v>
      </c>
      <c r="D43">
        <v>6</v>
      </c>
      <c r="E43">
        <v>12</v>
      </c>
      <c r="F43">
        <v>21</v>
      </c>
      <c r="G43">
        <v>39</v>
      </c>
      <c r="H43" s="113">
        <v>3</v>
      </c>
    </row>
    <row r="45" spans="1:8" x14ac:dyDescent="0.2">
      <c r="A45" t="s">
        <v>118</v>
      </c>
    </row>
    <row r="46" spans="1:8" x14ac:dyDescent="0.2">
      <c r="A46" t="s">
        <v>119</v>
      </c>
      <c r="C46" t="s">
        <v>120</v>
      </c>
      <c r="E46">
        <f>IF(H40&gt;=18100,440,IF(H40&gt;=11000,10*ROUND((440-80*(11300/H40)^2)/10,0),370))</f>
        <v>360</v>
      </c>
    </row>
    <row r="47" spans="1:8" x14ac:dyDescent="0.2">
      <c r="C47" t="s">
        <v>121</v>
      </c>
      <c r="E47">
        <f>IF(H43&lt;=12,360,10*ROUND((400 -90*H43/27)/10,0))</f>
        <v>360</v>
      </c>
    </row>
    <row r="48" spans="1:8" x14ac:dyDescent="0.2">
      <c r="C48" t="s">
        <v>122</v>
      </c>
      <c r="E48">
        <f>IF(H39&gt;=3200,IF(H43&lt;20,10*ROUND((E47-30+0.01875*H39)/10,0),E47),E47)</f>
        <v>390</v>
      </c>
    </row>
    <row r="49" spans="1:7" x14ac:dyDescent="0.2">
      <c r="C49" t="s">
        <v>123</v>
      </c>
      <c r="E49">
        <f>IF(H40&lt;5000,10*ROUND((E47-26.666+2.222*H43)/10,0),E48)</f>
        <v>390</v>
      </c>
    </row>
    <row r="50" spans="1:7" x14ac:dyDescent="0.2">
      <c r="C50" t="s">
        <v>124</v>
      </c>
      <c r="E50">
        <f>10*ROUND((-1.428*H41+E49+50)/10,0)</f>
        <v>390</v>
      </c>
    </row>
    <row r="51" spans="1:7" x14ac:dyDescent="0.2">
      <c r="C51" t="s">
        <v>116</v>
      </c>
      <c r="E51">
        <f>10*ROUND(1.19*E50/10,0)</f>
        <v>460</v>
      </c>
    </row>
    <row r="52" spans="1:7" x14ac:dyDescent="0.2">
      <c r="C52" t="s">
        <v>125</v>
      </c>
      <c r="E52">
        <f>10*ROUND((10*H43+340)/10,0)</f>
        <v>370</v>
      </c>
    </row>
    <row r="55" spans="1:7" x14ac:dyDescent="0.2">
      <c r="A55" s="51" t="s">
        <v>198</v>
      </c>
      <c r="C55" t="e">
        <f>'Haustechnikvarianten berechnen'!#REF!</f>
        <v>#REF!</v>
      </c>
      <c r="D55" t="e">
        <f>C55</f>
        <v>#REF!</v>
      </c>
      <c r="E55" t="e">
        <f>'Haustechnikvarianten berechnen'!#REF!</f>
        <v>#REF!</v>
      </c>
      <c r="F55" t="e">
        <f t="shared" ref="F55:G55" si="0">E55</f>
        <v>#REF!</v>
      </c>
      <c r="G55" t="e">
        <f t="shared" si="0"/>
        <v>#REF!</v>
      </c>
    </row>
    <row r="56" spans="1:7" x14ac:dyDescent="0.2">
      <c r="A56" s="51" t="s">
        <v>199</v>
      </c>
      <c r="C56" t="e">
        <f>'Haustechnikvarianten berechnen'!#REF!</f>
        <v>#REF!</v>
      </c>
      <c r="D56" t="e">
        <f>C56</f>
        <v>#REF!</v>
      </c>
      <c r="E56" t="e">
        <f>'Haustechnikvarianten berechnen'!#REF!</f>
        <v>#REF!</v>
      </c>
      <c r="F56" t="e">
        <f t="shared" ref="F56:G56" si="1">E56</f>
        <v>#REF!</v>
      </c>
      <c r="G56" t="e">
        <f t="shared" si="1"/>
        <v>#REF!</v>
      </c>
    </row>
    <row r="57" spans="1:7" x14ac:dyDescent="0.2">
      <c r="A57" s="51" t="s">
        <v>200</v>
      </c>
      <c r="C57">
        <f>'Haustechnikvarianten berechnen'!B67</f>
        <v>4000</v>
      </c>
      <c r="D57">
        <f>C57</f>
        <v>4000</v>
      </c>
      <c r="E57">
        <f>D57</f>
        <v>4000</v>
      </c>
      <c r="F57">
        <f t="shared" ref="F57:G57" si="2">E57</f>
        <v>4000</v>
      </c>
      <c r="G57">
        <f t="shared" si="2"/>
        <v>4000</v>
      </c>
    </row>
    <row r="58" spans="1:7" x14ac:dyDescent="0.2">
      <c r="A58" s="51" t="s">
        <v>201</v>
      </c>
      <c r="C58" t="e">
        <f>'Haustechnikvarianten berechnen'!#REF!</f>
        <v>#REF!</v>
      </c>
      <c r="D58">
        <v>0</v>
      </c>
      <c r="E58" t="e">
        <f>'Haustechnikvarianten berechnen'!#REF!</f>
        <v>#REF!</v>
      </c>
      <c r="F58" t="e">
        <f>E58</f>
        <v>#REF!</v>
      </c>
      <c r="G58">
        <v>0</v>
      </c>
    </row>
    <row r="59" spans="1:7" x14ac:dyDescent="0.2">
      <c r="A59" s="51" t="s">
        <v>202</v>
      </c>
      <c r="C59">
        <v>0</v>
      </c>
      <c r="D59">
        <v>0</v>
      </c>
      <c r="E59" t="e">
        <f>'Haustechnikvarianten berechnen'!#REF!</f>
        <v>#REF!</v>
      </c>
      <c r="F59">
        <v>0</v>
      </c>
      <c r="G59">
        <v>0</v>
      </c>
    </row>
    <row r="64" spans="1:7" x14ac:dyDescent="0.2">
      <c r="A64" s="123" t="s">
        <v>130</v>
      </c>
      <c r="B64" s="124"/>
      <c r="C64" s="135" t="e">
        <f>C55</f>
        <v>#REF!</v>
      </c>
      <c r="D64" s="135" t="e">
        <f>D55</f>
        <v>#REF!</v>
      </c>
      <c r="E64" s="135" t="e">
        <f t="shared" ref="E64:G64" si="3">E55</f>
        <v>#REF!</v>
      </c>
      <c r="F64" s="135" t="e">
        <f t="shared" si="3"/>
        <v>#REF!</v>
      </c>
      <c r="G64" s="135" t="e">
        <f t="shared" si="3"/>
        <v>#REF!</v>
      </c>
    </row>
    <row r="65" spans="1:9" x14ac:dyDescent="0.2">
      <c r="A65" s="123" t="s">
        <v>131</v>
      </c>
      <c r="B65" s="123"/>
      <c r="C65" s="135" t="e">
        <f>C56</f>
        <v>#REF!</v>
      </c>
      <c r="D65" s="135" t="e">
        <f>D56</f>
        <v>#REF!</v>
      </c>
      <c r="E65" s="135" t="e">
        <f t="shared" ref="E65:G65" si="4">E56</f>
        <v>#REF!</v>
      </c>
      <c r="F65" s="135" t="e">
        <f t="shared" si="4"/>
        <v>#REF!</v>
      </c>
      <c r="G65" s="135" t="e">
        <f t="shared" si="4"/>
        <v>#REF!</v>
      </c>
    </row>
    <row r="66" spans="1:9" x14ac:dyDescent="0.2">
      <c r="A66" s="123" t="s">
        <v>132</v>
      </c>
      <c r="B66" s="123"/>
      <c r="C66" s="135" t="e">
        <f>C$64*C$65</f>
        <v>#REF!</v>
      </c>
      <c r="D66" s="135" t="e">
        <f>D$64*D$65</f>
        <v>#REF!</v>
      </c>
      <c r="E66" s="135" t="e">
        <f t="shared" ref="E66:G66" si="5">E$64*E$65</f>
        <v>#REF!</v>
      </c>
      <c r="F66" s="135" t="e">
        <f t="shared" si="5"/>
        <v>#REF!</v>
      </c>
      <c r="G66" s="135" t="e">
        <f t="shared" si="5"/>
        <v>#REF!</v>
      </c>
    </row>
    <row r="67" spans="1:9" x14ac:dyDescent="0.2">
      <c r="A67" s="123" t="s">
        <v>133</v>
      </c>
      <c r="B67" s="123"/>
      <c r="C67" s="135">
        <v>0</v>
      </c>
      <c r="D67" s="135">
        <v>0</v>
      </c>
      <c r="E67" s="135">
        <v>0</v>
      </c>
      <c r="F67" s="135">
        <v>0</v>
      </c>
      <c r="G67" s="135">
        <v>0</v>
      </c>
    </row>
    <row r="68" spans="1:9" x14ac:dyDescent="0.2">
      <c r="A68" s="123" t="s">
        <v>134</v>
      </c>
      <c r="B68" s="123"/>
      <c r="C68" s="135">
        <f>C57</f>
        <v>4000</v>
      </c>
      <c r="D68" s="135">
        <f>D57</f>
        <v>4000</v>
      </c>
      <c r="E68" s="135">
        <f t="shared" ref="E68:G68" si="6">E57</f>
        <v>4000</v>
      </c>
      <c r="F68" s="135">
        <f t="shared" si="6"/>
        <v>4000</v>
      </c>
      <c r="G68" s="135">
        <f t="shared" si="6"/>
        <v>4000</v>
      </c>
    </row>
    <row r="69" spans="1:9" x14ac:dyDescent="0.2">
      <c r="A69" s="123" t="s">
        <v>135</v>
      </c>
      <c r="B69" s="123"/>
      <c r="C69" s="135">
        <v>0</v>
      </c>
      <c r="D69" s="135">
        <v>0</v>
      </c>
      <c r="E69" s="135">
        <v>0</v>
      </c>
      <c r="F69" s="135">
        <v>0</v>
      </c>
      <c r="G69" s="135">
        <v>0</v>
      </c>
    </row>
    <row r="70" spans="1:9" x14ac:dyDescent="0.2">
      <c r="A70" s="123" t="s">
        <v>136</v>
      </c>
      <c r="B70" s="123"/>
      <c r="C70" s="135" t="e">
        <f>C58</f>
        <v>#REF!</v>
      </c>
      <c r="D70" s="135">
        <f>D58</f>
        <v>0</v>
      </c>
      <c r="E70" s="135" t="e">
        <f t="shared" ref="E70:G70" si="7">E58</f>
        <v>#REF!</v>
      </c>
      <c r="F70" s="135" t="e">
        <f t="shared" si="7"/>
        <v>#REF!</v>
      </c>
      <c r="G70" s="135">
        <f t="shared" si="7"/>
        <v>0</v>
      </c>
    </row>
    <row r="71" spans="1:9" x14ac:dyDescent="0.2">
      <c r="A71" s="123" t="s">
        <v>137</v>
      </c>
      <c r="B71" s="123"/>
      <c r="C71" s="135">
        <v>0</v>
      </c>
      <c r="D71" s="135">
        <v>0</v>
      </c>
      <c r="E71" s="135">
        <v>0</v>
      </c>
      <c r="F71" s="135">
        <v>0</v>
      </c>
      <c r="G71" s="135">
        <v>0</v>
      </c>
    </row>
    <row r="72" spans="1:9" x14ac:dyDescent="0.2">
      <c r="A72" s="123" t="s">
        <v>138</v>
      </c>
      <c r="B72" s="123"/>
      <c r="C72" s="135">
        <f>C59</f>
        <v>0</v>
      </c>
      <c r="D72" s="135">
        <f>D59</f>
        <v>0</v>
      </c>
      <c r="E72" s="135" t="e">
        <f t="shared" ref="E72:G72" si="8">E59</f>
        <v>#REF!</v>
      </c>
      <c r="F72" s="135">
        <f t="shared" si="8"/>
        <v>0</v>
      </c>
      <c r="G72" s="135">
        <f t="shared" si="8"/>
        <v>0</v>
      </c>
    </row>
    <row r="73" spans="1:9" x14ac:dyDescent="0.2">
      <c r="A73" s="123"/>
      <c r="B73" s="123"/>
      <c r="C73" s="135"/>
      <c r="D73" s="135"/>
      <c r="E73" s="135"/>
      <c r="F73" s="135"/>
      <c r="G73" s="135"/>
    </row>
    <row r="74" spans="1:9" x14ac:dyDescent="0.2">
      <c r="A74" s="123" t="s">
        <v>139</v>
      </c>
      <c r="B74" s="123"/>
      <c r="C74" s="135" t="e">
        <f>C$66*MIN(0.6,1/(1+6*C$66/(C$71+C$72+0.0001)))</f>
        <v>#REF!</v>
      </c>
      <c r="D74" s="135" t="e">
        <f>D$66*MIN(0.6,1/(1+6*D$66/(D$71+D$72+0.0001)))</f>
        <v>#REF!</v>
      </c>
      <c r="E74" s="135" t="e">
        <f t="shared" ref="E74:G74" si="9">E$66*MIN(0.6,1/(1+6*E$66/(E$71+E$72+0.0001)))</f>
        <v>#REF!</v>
      </c>
      <c r="F74" s="135" t="e">
        <f t="shared" si="9"/>
        <v>#REF!</v>
      </c>
      <c r="G74" s="135" t="e">
        <f t="shared" si="9"/>
        <v>#REF!</v>
      </c>
      <c r="H74" s="123"/>
      <c r="I74" s="134"/>
    </row>
    <row r="75" spans="1:9" x14ac:dyDescent="0.2">
      <c r="A75" s="123" t="s">
        <v>140</v>
      </c>
      <c r="B75" s="123"/>
      <c r="C75" s="135" t="e">
        <f>C$64*C$65/1025</f>
        <v>#REF!</v>
      </c>
      <c r="D75" s="135" t="e">
        <f>D$64*D$65/1025</f>
        <v>#REF!</v>
      </c>
      <c r="E75" s="135" t="e">
        <f t="shared" ref="E75:G75" si="10">E$64*E$65/1025</f>
        <v>#REF!</v>
      </c>
      <c r="F75" s="135" t="e">
        <f t="shared" si="10"/>
        <v>#REF!</v>
      </c>
      <c r="G75" s="135" t="e">
        <f t="shared" si="10"/>
        <v>#REF!</v>
      </c>
    </row>
    <row r="76" spans="1:9" x14ac:dyDescent="0.2">
      <c r="A76" s="123" t="s">
        <v>141</v>
      </c>
      <c r="B76" s="123"/>
      <c r="C76" s="135" t="e">
        <f>0.05*C$69+0.5*C$70+C$74</f>
        <v>#REF!</v>
      </c>
      <c r="D76" s="135" t="e">
        <f>0.05*D$69+0.5*D$70+D$74</f>
        <v>#REF!</v>
      </c>
      <c r="E76" s="135" t="e">
        <f t="shared" ref="E76:G76" si="11">0.05*E$69+0.5*E$70+E$74</f>
        <v>#REF!</v>
      </c>
      <c r="F76" s="135" t="e">
        <f t="shared" si="11"/>
        <v>#REF!</v>
      </c>
      <c r="G76" s="135" t="e">
        <f t="shared" si="11"/>
        <v>#REF!</v>
      </c>
      <c r="H76" s="134"/>
    </row>
    <row r="77" spans="1:9" x14ac:dyDescent="0.2">
      <c r="A77" s="123" t="s">
        <v>142</v>
      </c>
      <c r="B77" s="123"/>
      <c r="C77" s="135">
        <f>C$68*0.49</f>
        <v>1960</v>
      </c>
      <c r="D77" s="135">
        <f>D$68*0.49</f>
        <v>1960</v>
      </c>
      <c r="E77" s="135">
        <f t="shared" ref="E77:G77" si="12">E$68*0.49</f>
        <v>1960</v>
      </c>
      <c r="F77" s="135">
        <f t="shared" si="12"/>
        <v>1960</v>
      </c>
      <c r="G77" s="135">
        <f t="shared" si="12"/>
        <v>1960</v>
      </c>
    </row>
    <row r="78" spans="1:9" x14ac:dyDescent="0.2">
      <c r="A78" s="123" t="s">
        <v>143</v>
      </c>
      <c r="B78" s="123"/>
      <c r="C78" s="135" t="e">
        <f>MIN(1,(0.2+0.8*C$75/9))</f>
        <v>#REF!</v>
      </c>
      <c r="D78" s="135" t="e">
        <f>MIN(1,(0.2+0.8*D$75/9))</f>
        <v>#REF!</v>
      </c>
      <c r="E78" s="135" t="e">
        <f t="shared" ref="E78:G78" si="13">MIN(1,(0.2+0.8*E$75/9))</f>
        <v>#REF!</v>
      </c>
      <c r="F78" s="135" t="e">
        <f t="shared" si="13"/>
        <v>#REF!</v>
      </c>
      <c r="G78" s="135" t="e">
        <f t="shared" si="13"/>
        <v>#REF!</v>
      </c>
    </row>
    <row r="79" spans="1:9" x14ac:dyDescent="0.2">
      <c r="A79" s="123" t="s">
        <v>144</v>
      </c>
      <c r="B79" s="123"/>
      <c r="C79" s="135" t="e">
        <f>C$77+C$76*C$78</f>
        <v>#REF!</v>
      </c>
      <c r="D79" s="135" t="e">
        <f>D$77+D$76*D$78</f>
        <v>#REF!</v>
      </c>
      <c r="E79" s="135" t="e">
        <f t="shared" ref="E79:G79" si="14">E$77+E$76*E$78</f>
        <v>#REF!</v>
      </c>
      <c r="F79" s="135" t="e">
        <f t="shared" si="14"/>
        <v>#REF!</v>
      </c>
      <c r="G79" s="135" t="e">
        <f t="shared" si="14"/>
        <v>#REF!</v>
      </c>
    </row>
    <row r="80" spans="1:9" x14ac:dyDescent="0.2">
      <c r="A80" s="123" t="s">
        <v>145</v>
      </c>
      <c r="B80" s="123"/>
      <c r="C80" s="135" t="e">
        <f>0.51*C$68+0.1*C$69+0.5*C$70</f>
        <v>#REF!</v>
      </c>
      <c r="D80" s="135">
        <f>0.51*D$68+0.1*D$69+0.5*D$70</f>
        <v>2040</v>
      </c>
      <c r="E80" s="135" t="e">
        <f t="shared" ref="E80:G80" si="15">0.51*E$68+0.1*E$69+0.5*E$70</f>
        <v>#REF!</v>
      </c>
      <c r="F80" s="135" t="e">
        <f t="shared" si="15"/>
        <v>#REF!</v>
      </c>
      <c r="G80" s="135">
        <f t="shared" si="15"/>
        <v>2040</v>
      </c>
    </row>
    <row r="81" spans="1:7" x14ac:dyDescent="0.2">
      <c r="A81" s="123" t="s">
        <v>146</v>
      </c>
      <c r="B81" s="123"/>
      <c r="C81" s="135" t="e">
        <f>29.468*(C$67/C$75)/(29.468*C$67/C$75+1)*0.844*C$67/(C$80/1000+0.0000001)/(0.844*C$67/(C$80/1000+0.0000001)+1)</f>
        <v>#REF!</v>
      </c>
      <c r="D81" s="135" t="e">
        <f>29.468*(D$67/D$75)/(29.468*D$67/D$75+1)*0.844*D$67/(D$80/1000+0.0000001)/(0.844*D$67/(D$80/1000+0.0000001)+1)</f>
        <v>#REF!</v>
      </c>
      <c r="E81" s="135" t="e">
        <f t="shared" ref="E81:G81" si="16">29.468*(E$67/E$75)/(29.468*E$67/E$75+1)*0.844*E$67/(E$80/1000+0.0000001)/(0.844*E$67/(E$80/1000+0.0000001)+1)</f>
        <v>#REF!</v>
      </c>
      <c r="F81" s="135" t="e">
        <f t="shared" si="16"/>
        <v>#REF!</v>
      </c>
      <c r="G81" s="135" t="e">
        <f t="shared" si="16"/>
        <v>#REF!</v>
      </c>
    </row>
    <row r="82" spans="1:7" x14ac:dyDescent="0.2">
      <c r="A82" s="123" t="s">
        <v>147</v>
      </c>
      <c r="B82" s="123"/>
      <c r="C82" s="135" t="e">
        <f>MIN(1,1.05/(1+0.982*(C$66/MAX(1,C$79))^1.0378)+(C$81*2.305)/(1+1.961*(C$66/MAX(1,C$80))^0.947)-0.05/(1+(1-C$83)^2))</f>
        <v>#REF!</v>
      </c>
      <c r="D82" s="135" t="e">
        <f>MIN(1,1.05/(1+0.982*(D$66/MAX(1,D$79))^1.0378)+(D$81*2.305)/(1+1.961*(D$66/MAX(1,D$80))^0.947)-0.05/(1+(1-D$83)^2))</f>
        <v>#REF!</v>
      </c>
      <c r="E82" s="135" t="e">
        <f t="shared" ref="E82:G82" si="17">MIN(1,1.05/(1+0.982*(E$66/MAX(1,E$79))^1.0378)+(E$81*2.305)/(1+1.961*(E$66/MAX(1,E$80))^0.947)-0.05/(1+(1-E$83)^2))</f>
        <v>#REF!</v>
      </c>
      <c r="F82" s="135" t="e">
        <f t="shared" si="17"/>
        <v>#REF!</v>
      </c>
      <c r="G82" s="135" t="e">
        <f t="shared" si="17"/>
        <v>#REF!</v>
      </c>
    </row>
    <row r="83" spans="1:7" x14ac:dyDescent="0.2">
      <c r="A83" s="123" t="s">
        <v>148</v>
      </c>
      <c r="B83" s="123"/>
      <c r="C83" s="135" t="e">
        <f>C$66/(C$68+1)</f>
        <v>#REF!</v>
      </c>
      <c r="D83" s="135" t="e">
        <f>D$66/(D$68+1)</f>
        <v>#REF!</v>
      </c>
      <c r="E83" s="135" t="e">
        <f t="shared" ref="E83:G83" si="18">E$66/(E$68+1)</f>
        <v>#REF!</v>
      </c>
      <c r="F83" s="135" t="e">
        <f t="shared" si="18"/>
        <v>#REF!</v>
      </c>
      <c r="G83" s="135" t="e">
        <f t="shared" si="18"/>
        <v>#REF!</v>
      </c>
    </row>
    <row r="84" spans="1:7" x14ac:dyDescent="0.2">
      <c r="A84" s="123" t="s">
        <v>149</v>
      </c>
      <c r="B84" s="123"/>
      <c r="C84" s="135" t="e">
        <f>MIN(1,1.05/(1+0.982*(C$66/MAX(1,C$79))^1.0378)+0*(C$81*2.305)/(1+1.961*(C$66/MAX(1,C$80))^0.947)-0.05/(1+(1-C$83)^2))</f>
        <v>#REF!</v>
      </c>
      <c r="D84" s="135" t="e">
        <f>MIN(1,1.05/(1+0.982*(D$66/MAX(1,D$79))^1.0378)+0*(D$81*2.305)/(1+1.961*(D$66/MAX(1,D$80))^0.947)-0.05/(1+(1-D$83)^2))</f>
        <v>#REF!</v>
      </c>
      <c r="E84" s="135" t="e">
        <f t="shared" ref="E84:G84" si="19">MIN(1,1.05/(1+0.982*(E$66/MAX(1,E$79))^1.0378)+0*(E$81*2.305)/(1+1.961*(E$66/MAX(1,E$80))^0.947)-0.05/(1+(1-E$83)^2))</f>
        <v>#REF!</v>
      </c>
      <c r="F84" s="135" t="e">
        <f t="shared" si="19"/>
        <v>#REF!</v>
      </c>
      <c r="G84" s="135" t="e">
        <f t="shared" si="19"/>
        <v>#REF!</v>
      </c>
    </row>
    <row r="85" spans="1:7" x14ac:dyDescent="0.2">
      <c r="A85" s="123"/>
      <c r="B85" s="123"/>
      <c r="C85" s="135"/>
      <c r="D85" s="135"/>
      <c r="E85" s="135"/>
      <c r="F85" s="135"/>
      <c r="G85" s="135"/>
    </row>
    <row r="86" spans="1:7" x14ac:dyDescent="0.2">
      <c r="A86" s="123" t="s">
        <v>150</v>
      </c>
      <c r="B86" s="123"/>
      <c r="C86" s="135">
        <v>0.2</v>
      </c>
      <c r="D86" s="135">
        <v>0.2</v>
      </c>
      <c r="E86" s="135">
        <v>0.2</v>
      </c>
      <c r="F86" s="135">
        <v>0.2</v>
      </c>
      <c r="G86" s="135">
        <v>0.2</v>
      </c>
    </row>
    <row r="87" spans="1:7" x14ac:dyDescent="0.2">
      <c r="A87" s="123" t="s">
        <v>151</v>
      </c>
      <c r="B87" s="123"/>
      <c r="C87" s="135" t="e">
        <f>(C$82-C$84)*C$66</f>
        <v>#REF!</v>
      </c>
      <c r="D87" s="135" t="e">
        <f>(D$82-D$84)*D$66</f>
        <v>#REF!</v>
      </c>
      <c r="E87" s="135" t="e">
        <f t="shared" ref="E87:G87" si="20">(E$82-E$84)*E$66</f>
        <v>#REF!</v>
      </c>
      <c r="F87" s="135" t="e">
        <f t="shared" si="20"/>
        <v>#REF!</v>
      </c>
      <c r="G87" s="135" t="e">
        <f t="shared" si="20"/>
        <v>#REF!</v>
      </c>
    </row>
    <row r="88" spans="1:7" x14ac:dyDescent="0.2">
      <c r="A88" s="123" t="s">
        <v>152</v>
      </c>
      <c r="B88" s="123"/>
      <c r="C88" s="135" t="e">
        <f>C$86*C$87</f>
        <v>#REF!</v>
      </c>
      <c r="D88" s="135" t="e">
        <f>D$86*D$87</f>
        <v>#REF!</v>
      </c>
      <c r="E88" s="135" t="e">
        <f t="shared" ref="E88:G88" si="21">E$86*E$87</f>
        <v>#REF!</v>
      </c>
      <c r="F88" s="135" t="e">
        <f t="shared" si="21"/>
        <v>#REF!</v>
      </c>
      <c r="G88" s="135" t="e">
        <f t="shared" si="21"/>
        <v>#REF!</v>
      </c>
    </row>
    <row r="89" spans="1:7" x14ac:dyDescent="0.2">
      <c r="A89" s="123" t="s">
        <v>153</v>
      </c>
      <c r="B89" s="123"/>
      <c r="C89" s="135" t="e">
        <f>C$82*C$66-C$88</f>
        <v>#REF!</v>
      </c>
      <c r="D89" s="135" t="e">
        <f>D$82*D$66-D$88</f>
        <v>#REF!</v>
      </c>
      <c r="E89" s="135" t="e">
        <f t="shared" ref="E89:G89" si="22">E$82*E$66-E$88</f>
        <v>#REF!</v>
      </c>
      <c r="F89" s="135" t="e">
        <f t="shared" si="22"/>
        <v>#REF!</v>
      </c>
      <c r="G89" s="135" t="e">
        <f t="shared" si="22"/>
        <v>#REF!</v>
      </c>
    </row>
    <row r="91" spans="1:7" x14ac:dyDescent="0.2">
      <c r="A91" s="123" t="s">
        <v>203</v>
      </c>
      <c r="C91" s="135" t="e">
        <f>C89-D89</f>
        <v>#REF!</v>
      </c>
      <c r="D91" s="135"/>
      <c r="E91" s="135" t="e">
        <f>F89-G89</f>
        <v>#REF!</v>
      </c>
    </row>
    <row r="92" spans="1:7" x14ac:dyDescent="0.2">
      <c r="A92" s="123" t="s">
        <v>205</v>
      </c>
      <c r="C92" s="135"/>
      <c r="D92" s="135"/>
      <c r="E92" s="135" t="e">
        <f>E89-F89</f>
        <v>#REF!</v>
      </c>
    </row>
    <row r="93" spans="1:7" x14ac:dyDescent="0.2">
      <c r="A93" s="123" t="s">
        <v>204</v>
      </c>
      <c r="C93" s="135" t="e">
        <f>D89</f>
        <v>#REF!</v>
      </c>
      <c r="D93" s="135"/>
      <c r="E93" s="135" t="e">
        <f>G89</f>
        <v>#REF!</v>
      </c>
    </row>
    <row r="94" spans="1:7" x14ac:dyDescent="0.2">
      <c r="A94" s="123" t="s">
        <v>206</v>
      </c>
      <c r="C94" s="135" t="e">
        <f>C66-C89</f>
        <v>#REF!</v>
      </c>
      <c r="D94" s="135"/>
      <c r="E94" s="135" t="e">
        <f>E66-E89</f>
        <v>#REF!</v>
      </c>
    </row>
    <row r="97" spans="1:12" x14ac:dyDescent="0.2">
      <c r="A97" s="123" t="s">
        <v>154</v>
      </c>
      <c r="B97" s="51" t="s">
        <v>192</v>
      </c>
      <c r="C97" s="126" t="e">
        <f>'Haustechnikvarianten berechnen'!#REF!</f>
        <v>#REF!</v>
      </c>
      <c r="E97" s="51" t="s">
        <v>96</v>
      </c>
      <c r="F97" s="126" t="e">
        <f>'Haustechnikvarianten berechnen'!#REF!</f>
        <v>#REF!</v>
      </c>
      <c r="H97" t="e">
        <f>C97*F97</f>
        <v>#REF!</v>
      </c>
    </row>
    <row r="100" spans="1:12" x14ac:dyDescent="0.2">
      <c r="A100" t="s">
        <v>168</v>
      </c>
      <c r="B100" t="s">
        <v>169</v>
      </c>
      <c r="H100" t="s">
        <v>171</v>
      </c>
      <c r="I100" s="126" t="e">
        <f>'Haustechnikvarianten berechnen'!#REF!</f>
        <v>#REF!</v>
      </c>
      <c r="J100" t="s">
        <v>15</v>
      </c>
      <c r="K100" s="102" t="e">
        <f>I100/365</f>
        <v>#REF!</v>
      </c>
      <c r="L100" t="s">
        <v>170</v>
      </c>
    </row>
    <row r="101" spans="1:12" x14ac:dyDescent="0.2">
      <c r="B101" t="s">
        <v>172</v>
      </c>
    </row>
    <row r="102" spans="1:12" x14ac:dyDescent="0.2">
      <c r="A102" s="127" t="s">
        <v>173</v>
      </c>
      <c r="B102" s="127" t="s">
        <v>174</v>
      </c>
      <c r="C102" s="127" t="s">
        <v>175</v>
      </c>
      <c r="D102" s="127" t="s">
        <v>176</v>
      </c>
      <c r="E102" s="127" t="s">
        <v>177</v>
      </c>
      <c r="F102" s="133" t="s">
        <v>193</v>
      </c>
      <c r="G102" s="133" t="s">
        <v>194</v>
      </c>
      <c r="H102" s="127" t="s">
        <v>178</v>
      </c>
    </row>
    <row r="103" spans="1:12" x14ac:dyDescent="0.2">
      <c r="A103" s="127" t="s">
        <v>179</v>
      </c>
      <c r="B103" s="127">
        <v>31</v>
      </c>
      <c r="C103" s="128">
        <v>155.31</v>
      </c>
      <c r="D103" s="129">
        <v>1.4314285714285713</v>
      </c>
      <c r="E103" s="127">
        <v>7</v>
      </c>
      <c r="F103" s="128" t="e">
        <f>C103/$C$115*$H$97</f>
        <v>#REF!</v>
      </c>
      <c r="G103" s="128" t="e">
        <f>$K$100*B103</f>
        <v>#REF!</v>
      </c>
      <c r="H103" s="128" t="e">
        <f>IF(F103&gt;G103,G103,F103)</f>
        <v>#REF!</v>
      </c>
    </row>
    <row r="104" spans="1:12" x14ac:dyDescent="0.2">
      <c r="A104" s="127" t="s">
        <v>180</v>
      </c>
      <c r="B104" s="127">
        <v>28</v>
      </c>
      <c r="C104" s="128">
        <v>222.6</v>
      </c>
      <c r="D104" s="129">
        <v>1.8705882352941177</v>
      </c>
      <c r="E104" s="127">
        <v>8.5</v>
      </c>
      <c r="F104" s="128" t="e">
        <f t="shared" ref="F104:F114" si="23">C104/$C$115*$H$97</f>
        <v>#REF!</v>
      </c>
      <c r="G104" s="128" t="e">
        <f t="shared" ref="G104:G114" si="24">$K$100*B104</f>
        <v>#REF!</v>
      </c>
      <c r="H104" s="128" t="e">
        <f t="shared" ref="H104:H114" si="25">IF(F104&gt;G104,G104,F104)</f>
        <v>#REF!</v>
      </c>
    </row>
    <row r="105" spans="1:12" x14ac:dyDescent="0.2">
      <c r="A105" s="127" t="s">
        <v>181</v>
      </c>
      <c r="B105" s="127">
        <v>31</v>
      </c>
      <c r="C105" s="128">
        <v>452.6</v>
      </c>
      <c r="D105" s="129">
        <v>2.8627450980392157</v>
      </c>
      <c r="E105" s="127">
        <v>10.199999999999999</v>
      </c>
      <c r="F105" s="128" t="e">
        <f t="shared" si="23"/>
        <v>#REF!</v>
      </c>
      <c r="G105" s="128" t="e">
        <f t="shared" si="24"/>
        <v>#REF!</v>
      </c>
      <c r="H105" s="128" t="e">
        <f t="shared" si="25"/>
        <v>#REF!</v>
      </c>
    </row>
    <row r="106" spans="1:12" x14ac:dyDescent="0.2">
      <c r="A106" s="127" t="s">
        <v>182</v>
      </c>
      <c r="B106" s="127">
        <v>30</v>
      </c>
      <c r="C106" s="128">
        <v>570</v>
      </c>
      <c r="D106" s="129">
        <v>3.1147540983606561</v>
      </c>
      <c r="E106" s="127">
        <v>12.2</v>
      </c>
      <c r="F106" s="128" t="e">
        <f t="shared" si="23"/>
        <v>#REF!</v>
      </c>
      <c r="G106" s="128" t="e">
        <f t="shared" si="24"/>
        <v>#REF!</v>
      </c>
      <c r="H106" s="128" t="e">
        <f t="shared" si="25"/>
        <v>#REF!</v>
      </c>
    </row>
    <row r="107" spans="1:12" x14ac:dyDescent="0.2">
      <c r="A107" s="127" t="s">
        <v>183</v>
      </c>
      <c r="B107" s="127">
        <v>31</v>
      </c>
      <c r="C107" s="128">
        <v>598.29999999999995</v>
      </c>
      <c r="D107" s="129">
        <v>2.9242424242424243</v>
      </c>
      <c r="E107" s="127">
        <v>13.2</v>
      </c>
      <c r="F107" s="128" t="e">
        <f t="shared" si="23"/>
        <v>#REF!</v>
      </c>
      <c r="G107" s="128" t="e">
        <f t="shared" si="24"/>
        <v>#REF!</v>
      </c>
      <c r="H107" s="128" t="e">
        <f t="shared" si="25"/>
        <v>#REF!</v>
      </c>
    </row>
    <row r="108" spans="1:12" x14ac:dyDescent="0.2">
      <c r="A108" s="127" t="s">
        <v>184</v>
      </c>
      <c r="B108" s="127">
        <v>30</v>
      </c>
      <c r="C108" s="128">
        <v>579</v>
      </c>
      <c r="D108" s="129">
        <v>2.71830985915493</v>
      </c>
      <c r="E108" s="127">
        <v>14.2</v>
      </c>
      <c r="F108" s="128" t="e">
        <f t="shared" si="23"/>
        <v>#REF!</v>
      </c>
      <c r="G108" s="128" t="e">
        <f t="shared" si="24"/>
        <v>#REF!</v>
      </c>
      <c r="H108" s="128" t="e">
        <f t="shared" si="25"/>
        <v>#REF!</v>
      </c>
    </row>
    <row r="109" spans="1:12" x14ac:dyDescent="0.2">
      <c r="A109" s="127" t="s">
        <v>185</v>
      </c>
      <c r="B109" s="127">
        <v>31</v>
      </c>
      <c r="C109" s="128">
        <v>579.70000000000005</v>
      </c>
      <c r="D109" s="129">
        <v>2.615384615384615</v>
      </c>
      <c r="E109" s="127">
        <v>14.3</v>
      </c>
      <c r="F109" s="128" t="e">
        <f t="shared" si="23"/>
        <v>#REF!</v>
      </c>
      <c r="G109" s="128" t="e">
        <f t="shared" si="24"/>
        <v>#REF!</v>
      </c>
      <c r="H109" s="128" t="e">
        <f t="shared" si="25"/>
        <v>#REF!</v>
      </c>
    </row>
    <row r="110" spans="1:12" x14ac:dyDescent="0.2">
      <c r="A110" s="127" t="s">
        <v>186</v>
      </c>
      <c r="B110" s="127">
        <v>31</v>
      </c>
      <c r="C110" s="128">
        <v>554.9</v>
      </c>
      <c r="D110" s="129">
        <v>2.7121212121212119</v>
      </c>
      <c r="E110" s="127">
        <v>13.2</v>
      </c>
      <c r="F110" s="128" t="e">
        <f t="shared" si="23"/>
        <v>#REF!</v>
      </c>
      <c r="G110" s="128" t="e">
        <f t="shared" si="24"/>
        <v>#REF!</v>
      </c>
      <c r="H110" s="128" t="e">
        <f t="shared" si="25"/>
        <v>#REF!</v>
      </c>
    </row>
    <row r="111" spans="1:12" x14ac:dyDescent="0.2">
      <c r="A111" s="127" t="s">
        <v>187</v>
      </c>
      <c r="B111" s="127">
        <v>30</v>
      </c>
      <c r="C111" s="128">
        <v>441</v>
      </c>
      <c r="D111" s="129">
        <v>2.4098360655737707</v>
      </c>
      <c r="E111" s="127">
        <v>12.2</v>
      </c>
      <c r="F111" s="128" t="e">
        <f t="shared" si="23"/>
        <v>#REF!</v>
      </c>
      <c r="G111" s="128" t="e">
        <f t="shared" si="24"/>
        <v>#REF!</v>
      </c>
      <c r="H111" s="128" t="e">
        <f t="shared" si="25"/>
        <v>#REF!</v>
      </c>
    </row>
    <row r="112" spans="1:12" x14ac:dyDescent="0.2">
      <c r="A112" s="127" t="s">
        <v>188</v>
      </c>
      <c r="B112" s="127">
        <v>31</v>
      </c>
      <c r="C112" s="128">
        <v>341</v>
      </c>
      <c r="D112" s="129">
        <v>2</v>
      </c>
      <c r="E112" s="127">
        <v>11</v>
      </c>
      <c r="F112" s="128" t="e">
        <f t="shared" si="23"/>
        <v>#REF!</v>
      </c>
      <c r="G112" s="128" t="e">
        <f t="shared" si="24"/>
        <v>#REF!</v>
      </c>
      <c r="H112" s="128" t="e">
        <f t="shared" si="25"/>
        <v>#REF!</v>
      </c>
    </row>
    <row r="113" spans="1:14" x14ac:dyDescent="0.2">
      <c r="A113" s="127" t="s">
        <v>189</v>
      </c>
      <c r="B113" s="127">
        <v>30</v>
      </c>
      <c r="C113" s="128">
        <v>177.3</v>
      </c>
      <c r="D113" s="129">
        <v>1.3133333333333335</v>
      </c>
      <c r="E113" s="127">
        <v>9</v>
      </c>
      <c r="F113" s="128" t="e">
        <f t="shared" si="23"/>
        <v>#REF!</v>
      </c>
      <c r="G113" s="128" t="e">
        <f t="shared" si="24"/>
        <v>#REF!</v>
      </c>
      <c r="H113" s="128" t="e">
        <f t="shared" si="25"/>
        <v>#REF!</v>
      </c>
    </row>
    <row r="114" spans="1:14" x14ac:dyDescent="0.2">
      <c r="A114" s="127" t="s">
        <v>190</v>
      </c>
      <c r="B114" s="127">
        <v>31</v>
      </c>
      <c r="C114" s="128">
        <v>133.30000000000001</v>
      </c>
      <c r="D114" s="129">
        <v>1.2285714285714284</v>
      </c>
      <c r="E114" s="127">
        <v>7</v>
      </c>
      <c r="F114" s="128" t="e">
        <f t="shared" si="23"/>
        <v>#REF!</v>
      </c>
      <c r="G114" s="128" t="e">
        <f t="shared" si="24"/>
        <v>#REF!</v>
      </c>
      <c r="H114" s="128" t="e">
        <f t="shared" si="25"/>
        <v>#REF!</v>
      </c>
    </row>
    <row r="115" spans="1:14" x14ac:dyDescent="0.2">
      <c r="A115" s="130" t="s">
        <v>191</v>
      </c>
      <c r="B115" s="130">
        <v>365</v>
      </c>
      <c r="C115" s="131">
        <v>4805.01</v>
      </c>
      <c r="D115" s="127"/>
      <c r="E115" s="127"/>
      <c r="F115" s="128" t="e">
        <f>SUM(F103:F114)</f>
        <v>#REF!</v>
      </c>
      <c r="G115" s="128" t="e">
        <f>SUM(G103:G114)</f>
        <v>#REF!</v>
      </c>
      <c r="H115" s="128" t="e">
        <f>SUM(H103:H114)</f>
        <v>#REF!</v>
      </c>
    </row>
    <row r="117" spans="1:14" x14ac:dyDescent="0.2">
      <c r="I117" s="128"/>
    </row>
    <row r="118" spans="1:14" x14ac:dyDescent="0.2">
      <c r="A118" s="123" t="s">
        <v>155</v>
      </c>
      <c r="B118" s="51" t="s">
        <v>192</v>
      </c>
      <c r="C118" s="126" t="e">
        <f>'Haustechnikvarianten berechnen'!#REF!</f>
        <v>#REF!</v>
      </c>
      <c r="E118" s="51" t="s">
        <v>96</v>
      </c>
      <c r="F118" s="126" t="e">
        <f>'Haustechnikvarianten berechnen'!#REF!</f>
        <v>#REF!</v>
      </c>
      <c r="H118" t="e">
        <f>C118*F118</f>
        <v>#REF!</v>
      </c>
    </row>
    <row r="121" spans="1:14" x14ac:dyDescent="0.2">
      <c r="A121" t="s">
        <v>168</v>
      </c>
      <c r="B121" t="s">
        <v>169</v>
      </c>
      <c r="H121" t="s">
        <v>171</v>
      </c>
      <c r="I121" s="126" t="e">
        <f>'Haustechnikvarianten berechnen'!#REF!</f>
        <v>#REF!</v>
      </c>
      <c r="J121" t="s">
        <v>15</v>
      </c>
      <c r="K121" s="102" t="e">
        <f>I121/365</f>
        <v>#REF!</v>
      </c>
      <c r="L121" t="s">
        <v>170</v>
      </c>
      <c r="M121" s="51" t="s">
        <v>195</v>
      </c>
      <c r="N121" s="126" t="e">
        <f>'Haustechnikvarianten berechnen'!#REF!</f>
        <v>#REF!</v>
      </c>
    </row>
    <row r="122" spans="1:14" x14ac:dyDescent="0.2">
      <c r="B122" t="s">
        <v>172</v>
      </c>
    </row>
    <row r="123" spans="1:14" x14ac:dyDescent="0.2">
      <c r="A123" s="127" t="s">
        <v>173</v>
      </c>
      <c r="B123" s="127" t="s">
        <v>174</v>
      </c>
      <c r="C123" s="127" t="s">
        <v>175</v>
      </c>
      <c r="D123" s="127" t="s">
        <v>176</v>
      </c>
      <c r="E123" s="127" t="s">
        <v>177</v>
      </c>
      <c r="F123" s="133" t="s">
        <v>193</v>
      </c>
      <c r="G123" s="133" t="s">
        <v>194</v>
      </c>
      <c r="H123" s="127" t="s">
        <v>178</v>
      </c>
      <c r="I123" s="133" t="s">
        <v>196</v>
      </c>
      <c r="J123" s="133" t="s">
        <v>197</v>
      </c>
      <c r="K123" s="133" t="s">
        <v>178</v>
      </c>
    </row>
    <row r="124" spans="1:14" x14ac:dyDescent="0.2">
      <c r="A124" s="127" t="s">
        <v>179</v>
      </c>
      <c r="B124" s="127">
        <v>31</v>
      </c>
      <c r="C124" s="128">
        <v>155.31</v>
      </c>
      <c r="D124" s="129">
        <v>1.4314285714285713</v>
      </c>
      <c r="E124" s="127">
        <v>7</v>
      </c>
      <c r="F124" s="128" t="e">
        <f>C124/$C$136*$H$118</f>
        <v>#REF!</v>
      </c>
      <c r="G124" s="128" t="e">
        <f>$K$100*B124</f>
        <v>#REF!</v>
      </c>
      <c r="H124" s="128" t="e">
        <f>IF(F124&gt;G124,G124,F124)</f>
        <v>#REF!</v>
      </c>
      <c r="I124" s="128">
        <v>170</v>
      </c>
      <c r="J124" s="128" t="e">
        <f>$N$121*I124/$I$136</f>
        <v>#REF!</v>
      </c>
      <c r="K124" s="128" t="e">
        <f>IF((F124-H124)&gt;0,IF((F124-H124)&gt;J124,J124,(F124-H124)),0)</f>
        <v>#REF!</v>
      </c>
      <c r="L124" s="132" t="e">
        <f>H124+K124</f>
        <v>#REF!</v>
      </c>
    </row>
    <row r="125" spans="1:14" x14ac:dyDescent="0.2">
      <c r="A125" s="127" t="s">
        <v>180</v>
      </c>
      <c r="B125" s="127">
        <v>28</v>
      </c>
      <c r="C125" s="128">
        <v>222.6</v>
      </c>
      <c r="D125" s="129">
        <v>1.8705882352941177</v>
      </c>
      <c r="E125" s="127">
        <v>8.5</v>
      </c>
      <c r="F125" s="128" t="e">
        <f t="shared" ref="F125:F135" si="26">C125/$C$136*$H$118</f>
        <v>#REF!</v>
      </c>
      <c r="G125" s="128" t="e">
        <f t="shared" ref="G125:G135" si="27">$K$100*B125</f>
        <v>#REF!</v>
      </c>
      <c r="H125" s="128" t="e">
        <f t="shared" ref="H125:H135" si="28">IF(F125&gt;G125,G125,F125)</f>
        <v>#REF!</v>
      </c>
      <c r="I125" s="128">
        <v>150</v>
      </c>
      <c r="J125" s="128" t="e">
        <f t="shared" ref="J125:J135" si="29">$N$121*I125/$I$136</f>
        <v>#REF!</v>
      </c>
      <c r="K125" s="128" t="e">
        <f t="shared" ref="K125:K136" si="30">IF((F125-H125)&gt;0,IF((F125-H125)&gt;J125,J125,(F125-H125)),0)</f>
        <v>#REF!</v>
      </c>
      <c r="L125" s="132" t="e">
        <f t="shared" ref="L125:L135" si="31">H125+K125</f>
        <v>#REF!</v>
      </c>
    </row>
    <row r="126" spans="1:14" x14ac:dyDescent="0.2">
      <c r="A126" s="127" t="s">
        <v>181</v>
      </c>
      <c r="B126" s="127">
        <v>31</v>
      </c>
      <c r="C126" s="128">
        <v>452.6</v>
      </c>
      <c r="D126" s="129">
        <v>2.8627450980392157</v>
      </c>
      <c r="E126" s="127">
        <v>10.199999999999999</v>
      </c>
      <c r="F126" s="128" t="e">
        <f t="shared" si="26"/>
        <v>#REF!</v>
      </c>
      <c r="G126" s="128" t="e">
        <f t="shared" si="27"/>
        <v>#REF!</v>
      </c>
      <c r="H126" s="128" t="e">
        <f t="shared" si="28"/>
        <v>#REF!</v>
      </c>
      <c r="I126" s="128">
        <v>130</v>
      </c>
      <c r="J126" s="128" t="e">
        <f t="shared" si="29"/>
        <v>#REF!</v>
      </c>
      <c r="K126" s="128" t="e">
        <f t="shared" si="30"/>
        <v>#REF!</v>
      </c>
      <c r="L126" s="132" t="e">
        <f t="shared" si="31"/>
        <v>#REF!</v>
      </c>
    </row>
    <row r="127" spans="1:14" x14ac:dyDescent="0.2">
      <c r="A127" s="127" t="s">
        <v>182</v>
      </c>
      <c r="B127" s="127">
        <v>30</v>
      </c>
      <c r="C127" s="128">
        <v>570</v>
      </c>
      <c r="D127" s="129">
        <v>3.1147540983606561</v>
      </c>
      <c r="E127" s="127">
        <v>12.2</v>
      </c>
      <c r="F127" s="128" t="e">
        <f t="shared" si="26"/>
        <v>#REF!</v>
      </c>
      <c r="G127" s="128" t="e">
        <f t="shared" si="27"/>
        <v>#REF!</v>
      </c>
      <c r="H127" s="128" t="e">
        <f t="shared" si="28"/>
        <v>#REF!</v>
      </c>
      <c r="I127" s="128">
        <v>80</v>
      </c>
      <c r="J127" s="128" t="e">
        <f t="shared" si="29"/>
        <v>#REF!</v>
      </c>
      <c r="K127" s="128" t="e">
        <f t="shared" si="30"/>
        <v>#REF!</v>
      </c>
      <c r="L127" s="132" t="e">
        <f t="shared" si="31"/>
        <v>#REF!</v>
      </c>
    </row>
    <row r="128" spans="1:14" x14ac:dyDescent="0.2">
      <c r="A128" s="127" t="s">
        <v>183</v>
      </c>
      <c r="B128" s="127">
        <v>31</v>
      </c>
      <c r="C128" s="128">
        <v>598.29999999999995</v>
      </c>
      <c r="D128" s="129">
        <v>2.9242424242424243</v>
      </c>
      <c r="E128" s="127">
        <v>13.2</v>
      </c>
      <c r="F128" s="128" t="e">
        <f t="shared" si="26"/>
        <v>#REF!</v>
      </c>
      <c r="G128" s="128" t="e">
        <f t="shared" si="27"/>
        <v>#REF!</v>
      </c>
      <c r="H128" s="128" t="e">
        <f t="shared" si="28"/>
        <v>#REF!</v>
      </c>
      <c r="I128" s="128">
        <v>40</v>
      </c>
      <c r="J128" s="128" t="e">
        <f t="shared" si="29"/>
        <v>#REF!</v>
      </c>
      <c r="K128" s="128" t="e">
        <f t="shared" si="30"/>
        <v>#REF!</v>
      </c>
      <c r="L128" s="132" t="e">
        <f t="shared" si="31"/>
        <v>#REF!</v>
      </c>
    </row>
    <row r="129" spans="1:12" x14ac:dyDescent="0.2">
      <c r="A129" s="127" t="s">
        <v>184</v>
      </c>
      <c r="B129" s="127">
        <v>30</v>
      </c>
      <c r="C129" s="128">
        <v>579</v>
      </c>
      <c r="D129" s="129">
        <v>2.71830985915493</v>
      </c>
      <c r="E129" s="127">
        <v>14.2</v>
      </c>
      <c r="F129" s="128" t="e">
        <f t="shared" si="26"/>
        <v>#REF!</v>
      </c>
      <c r="G129" s="128" t="e">
        <f t="shared" si="27"/>
        <v>#REF!</v>
      </c>
      <c r="H129" s="128" t="e">
        <f t="shared" si="28"/>
        <v>#REF!</v>
      </c>
      <c r="I129" s="128">
        <v>0</v>
      </c>
      <c r="J129" s="128" t="e">
        <f t="shared" si="29"/>
        <v>#REF!</v>
      </c>
      <c r="K129" s="128" t="e">
        <f t="shared" si="30"/>
        <v>#REF!</v>
      </c>
      <c r="L129" s="132" t="e">
        <f t="shared" si="31"/>
        <v>#REF!</v>
      </c>
    </row>
    <row r="130" spans="1:12" x14ac:dyDescent="0.2">
      <c r="A130" s="127" t="s">
        <v>185</v>
      </c>
      <c r="B130" s="127">
        <v>31</v>
      </c>
      <c r="C130" s="128">
        <v>579.70000000000005</v>
      </c>
      <c r="D130" s="129">
        <v>2.615384615384615</v>
      </c>
      <c r="E130" s="127">
        <v>14.3</v>
      </c>
      <c r="F130" s="128" t="e">
        <f t="shared" si="26"/>
        <v>#REF!</v>
      </c>
      <c r="G130" s="128" t="e">
        <f t="shared" si="27"/>
        <v>#REF!</v>
      </c>
      <c r="H130" s="128" t="e">
        <f t="shared" si="28"/>
        <v>#REF!</v>
      </c>
      <c r="I130" s="128">
        <v>0</v>
      </c>
      <c r="J130" s="128" t="e">
        <f t="shared" si="29"/>
        <v>#REF!</v>
      </c>
      <c r="K130" s="128" t="e">
        <f t="shared" si="30"/>
        <v>#REF!</v>
      </c>
      <c r="L130" s="132" t="e">
        <f t="shared" si="31"/>
        <v>#REF!</v>
      </c>
    </row>
    <row r="131" spans="1:12" x14ac:dyDescent="0.2">
      <c r="A131" s="127" t="s">
        <v>186</v>
      </c>
      <c r="B131" s="127">
        <v>31</v>
      </c>
      <c r="C131" s="128">
        <v>554.9</v>
      </c>
      <c r="D131" s="129">
        <v>2.7121212121212119</v>
      </c>
      <c r="E131" s="127">
        <v>13.2</v>
      </c>
      <c r="F131" s="128" t="e">
        <f t="shared" si="26"/>
        <v>#REF!</v>
      </c>
      <c r="G131" s="128" t="e">
        <f t="shared" si="27"/>
        <v>#REF!</v>
      </c>
      <c r="H131" s="128" t="e">
        <f t="shared" si="28"/>
        <v>#REF!</v>
      </c>
      <c r="I131" s="128">
        <v>0</v>
      </c>
      <c r="J131" s="128" t="e">
        <f t="shared" si="29"/>
        <v>#REF!</v>
      </c>
      <c r="K131" s="128" t="e">
        <f t="shared" si="30"/>
        <v>#REF!</v>
      </c>
      <c r="L131" s="132" t="e">
        <f t="shared" si="31"/>
        <v>#REF!</v>
      </c>
    </row>
    <row r="132" spans="1:12" x14ac:dyDescent="0.2">
      <c r="A132" s="127" t="s">
        <v>187</v>
      </c>
      <c r="B132" s="127">
        <v>30</v>
      </c>
      <c r="C132" s="128">
        <v>441</v>
      </c>
      <c r="D132" s="129">
        <v>2.4098360655737707</v>
      </c>
      <c r="E132" s="127">
        <v>12.2</v>
      </c>
      <c r="F132" s="128" t="e">
        <f t="shared" si="26"/>
        <v>#REF!</v>
      </c>
      <c r="G132" s="128" t="e">
        <f t="shared" si="27"/>
        <v>#REF!</v>
      </c>
      <c r="H132" s="128" t="e">
        <f t="shared" si="28"/>
        <v>#REF!</v>
      </c>
      <c r="I132" s="128">
        <v>30</v>
      </c>
      <c r="J132" s="128" t="e">
        <f t="shared" si="29"/>
        <v>#REF!</v>
      </c>
      <c r="K132" s="128" t="e">
        <f t="shared" si="30"/>
        <v>#REF!</v>
      </c>
      <c r="L132" s="132" t="e">
        <f t="shared" si="31"/>
        <v>#REF!</v>
      </c>
    </row>
    <row r="133" spans="1:12" x14ac:dyDescent="0.2">
      <c r="A133" s="127" t="s">
        <v>188</v>
      </c>
      <c r="B133" s="127">
        <v>31</v>
      </c>
      <c r="C133" s="128">
        <v>341</v>
      </c>
      <c r="D133" s="129">
        <v>2</v>
      </c>
      <c r="E133" s="127">
        <v>11</v>
      </c>
      <c r="F133" s="128" t="e">
        <f t="shared" si="26"/>
        <v>#REF!</v>
      </c>
      <c r="G133" s="128" t="e">
        <f t="shared" si="27"/>
        <v>#REF!</v>
      </c>
      <c r="H133" s="128" t="e">
        <f t="shared" si="28"/>
        <v>#REF!</v>
      </c>
      <c r="I133" s="128">
        <v>80</v>
      </c>
      <c r="J133" s="128" t="e">
        <f t="shared" si="29"/>
        <v>#REF!</v>
      </c>
      <c r="K133" s="128" t="e">
        <f t="shared" si="30"/>
        <v>#REF!</v>
      </c>
      <c r="L133" s="132" t="e">
        <f t="shared" si="31"/>
        <v>#REF!</v>
      </c>
    </row>
    <row r="134" spans="1:12" x14ac:dyDescent="0.2">
      <c r="A134" s="127" t="s">
        <v>189</v>
      </c>
      <c r="B134" s="127">
        <v>30</v>
      </c>
      <c r="C134" s="128">
        <v>177.3</v>
      </c>
      <c r="D134" s="129">
        <v>1.3133333333333335</v>
      </c>
      <c r="E134" s="127">
        <v>9</v>
      </c>
      <c r="F134" s="128" t="e">
        <f t="shared" si="26"/>
        <v>#REF!</v>
      </c>
      <c r="G134" s="128" t="e">
        <f t="shared" si="27"/>
        <v>#REF!</v>
      </c>
      <c r="H134" s="128" t="e">
        <f t="shared" si="28"/>
        <v>#REF!</v>
      </c>
      <c r="I134" s="128">
        <v>120</v>
      </c>
      <c r="J134" s="128" t="e">
        <f t="shared" si="29"/>
        <v>#REF!</v>
      </c>
      <c r="K134" s="128" t="e">
        <f t="shared" si="30"/>
        <v>#REF!</v>
      </c>
      <c r="L134" s="132" t="e">
        <f t="shared" si="31"/>
        <v>#REF!</v>
      </c>
    </row>
    <row r="135" spans="1:12" x14ac:dyDescent="0.2">
      <c r="A135" s="127" t="s">
        <v>190</v>
      </c>
      <c r="B135" s="127">
        <v>31</v>
      </c>
      <c r="C135" s="128">
        <v>133.30000000000001</v>
      </c>
      <c r="D135" s="129">
        <v>1.2285714285714284</v>
      </c>
      <c r="E135" s="127">
        <v>7</v>
      </c>
      <c r="F135" s="128" t="e">
        <f t="shared" si="26"/>
        <v>#REF!</v>
      </c>
      <c r="G135" s="128" t="e">
        <f t="shared" si="27"/>
        <v>#REF!</v>
      </c>
      <c r="H135" s="128" t="e">
        <f t="shared" si="28"/>
        <v>#REF!</v>
      </c>
      <c r="I135" s="128">
        <v>160</v>
      </c>
      <c r="J135" s="128" t="e">
        <f t="shared" si="29"/>
        <v>#REF!</v>
      </c>
      <c r="K135" s="128" t="e">
        <f t="shared" si="30"/>
        <v>#REF!</v>
      </c>
      <c r="L135" s="132" t="e">
        <f t="shared" si="31"/>
        <v>#REF!</v>
      </c>
    </row>
    <row r="136" spans="1:12" x14ac:dyDescent="0.2">
      <c r="A136" s="130" t="s">
        <v>191</v>
      </c>
      <c r="B136" s="130">
        <v>365</v>
      </c>
      <c r="C136" s="131">
        <v>4805.01</v>
      </c>
      <c r="D136" s="127"/>
      <c r="E136" s="127"/>
      <c r="F136" s="128" t="e">
        <f>SUM(F124:F135)</f>
        <v>#REF!</v>
      </c>
      <c r="G136" s="128" t="e">
        <f>SUM(G124:G135)</f>
        <v>#REF!</v>
      </c>
      <c r="H136" s="128" t="e">
        <f>SUM(H124:H135)</f>
        <v>#REF!</v>
      </c>
      <c r="I136" s="128">
        <f>SUM(I124:I135)</f>
        <v>960</v>
      </c>
      <c r="J136" s="128" t="e">
        <f>SUM(J124:J135)</f>
        <v>#REF!</v>
      </c>
      <c r="K136" s="128" t="e">
        <f t="shared" si="30"/>
        <v>#REF!</v>
      </c>
      <c r="L136" s="132" t="e">
        <f>SUM(L124:L135)</f>
        <v>#REF!</v>
      </c>
    </row>
    <row r="138" spans="1:12" x14ac:dyDescent="0.2">
      <c r="I138" s="128"/>
    </row>
    <row r="139" spans="1:12" x14ac:dyDescent="0.2">
      <c r="A139" s="51" t="s">
        <v>112</v>
      </c>
      <c r="C139" s="102">
        <f>'Haustechnikvarianten berechnen'!B60</f>
        <v>17520</v>
      </c>
      <c r="E139" s="51" t="s">
        <v>112</v>
      </c>
      <c r="G139" s="102">
        <f>C139</f>
        <v>17520</v>
      </c>
      <c r="I139" s="51"/>
      <c r="K139" s="102"/>
    </row>
    <row r="140" spans="1:12" x14ac:dyDescent="0.2">
      <c r="A140" s="51" t="s">
        <v>221</v>
      </c>
      <c r="C140">
        <f>'Haustechnikvarianten berechnen'!B61</f>
        <v>1600</v>
      </c>
      <c r="E140" s="51" t="s">
        <v>221</v>
      </c>
      <c r="G140">
        <f>C140</f>
        <v>1600</v>
      </c>
      <c r="I140" s="51"/>
    </row>
    <row r="141" spans="1:12" x14ac:dyDescent="0.2">
      <c r="A141" s="51" t="s">
        <v>217</v>
      </c>
      <c r="C141" s="147">
        <f>'Haustechnikvarianten berechnen'!C37</f>
        <v>3</v>
      </c>
      <c r="E141" s="51" t="s">
        <v>217</v>
      </c>
      <c r="G141" s="147">
        <f>'Haustechnikvarianten berechnen'!D37</f>
        <v>4</v>
      </c>
      <c r="I141" s="51"/>
      <c r="K141" s="147"/>
    </row>
    <row r="142" spans="1:12" x14ac:dyDescent="0.2">
      <c r="A142" s="51" t="s">
        <v>218</v>
      </c>
      <c r="C142">
        <f>10*ROUND(C140/18000,1)</f>
        <v>1</v>
      </c>
      <c r="E142" s="51" t="s">
        <v>218</v>
      </c>
      <c r="G142">
        <f>10*ROUND((G140+G139)/18000,2)</f>
        <v>10.600000000000001</v>
      </c>
      <c r="I142" s="51"/>
    </row>
    <row r="143" spans="1:12" x14ac:dyDescent="0.2">
      <c r="A143" s="51" t="s">
        <v>219</v>
      </c>
      <c r="C143">
        <f>10*ROUND(C142*(C140-1)/C140/0.05*1.3/10,0)</f>
        <v>30</v>
      </c>
      <c r="E143" s="51" t="s">
        <v>219</v>
      </c>
      <c r="G143">
        <f>10*ROUND(G142*(G141-1)/G141/0.05*1.3/10,1)</f>
        <v>207</v>
      </c>
      <c r="I143" s="51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Haustechnikvarianten gesamt</vt:lpstr>
      <vt:lpstr>Haustechnikvarianten berechnen</vt:lpstr>
      <vt:lpstr>Berechnung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Johannes Spruth</cp:lastModifiedBy>
  <cp:lastPrinted>2023-08-17T19:58:30Z</cp:lastPrinted>
  <dcterms:created xsi:type="dcterms:W3CDTF">2017-07-13T22:33:43Z</dcterms:created>
  <dcterms:modified xsi:type="dcterms:W3CDTF">2024-02-18T15:01:30Z</dcterms:modified>
</cp:coreProperties>
</file>