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atensammlung\Kleine Festplatte\Johannes\Bücher\Strom und Wärme\interaktive Tabellen\"/>
    </mc:Choice>
  </mc:AlternateContent>
  <xr:revisionPtr revIDLastSave="0" documentId="8_{5F96ADFF-D00A-438B-B005-68F942481842}" xr6:coauthVersionLast="47" xr6:coauthVersionMax="47" xr10:uidLastSave="{00000000-0000-0000-0000-000000000000}"/>
  <workbookProtection workbookAlgorithmName="SHA-512" workbookHashValue="dixD7ZSrB242FobqmCq7xAGYosEZNp39L1t3jBYXjmtzisbUR2Ns1gkRXK71wcrhT5fJWloB1aZWx0nBLrz6lQ==" workbookSaltValue="8he2JpqLs3Tx746hQCiRbw==" workbookSpinCount="100000" lockStructure="1"/>
  <bookViews>
    <workbookView xWindow="-120" yWindow="-120" windowWidth="19440" windowHeight="15000" xr2:uid="{00000000-000D-0000-FFFF-FFFF00000000}"/>
  </bookViews>
  <sheets>
    <sheet name="Haustechnikvarianten gesamt" sheetId="1" r:id="rId1"/>
    <sheet name="Haustechnikvarianten berechnen" sheetId="4" r:id="rId2"/>
    <sheet name="Berechnung" sheetId="5" state="hidden" r:id="rId3"/>
    <sheet name="Tabelle2" sheetId="2" r:id="rId4"/>
    <sheet name="Tabelle3" sheetId="3" r:id="rId5"/>
    <sheet name="Tabelle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4" l="1"/>
  <c r="D23" i="4"/>
  <c r="D20" i="4"/>
  <c r="D19" i="4"/>
  <c r="D18" i="4"/>
  <c r="D9" i="4"/>
  <c r="D8" i="4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B80" i="1"/>
  <c r="C97" i="4"/>
  <c r="D97" i="4"/>
  <c r="E97" i="4"/>
  <c r="F97" i="4"/>
  <c r="B97" i="4"/>
  <c r="Y79" i="1"/>
  <c r="X79" i="1"/>
  <c r="W79" i="1"/>
  <c r="V79" i="1"/>
  <c r="U79" i="1"/>
  <c r="T79" i="1"/>
  <c r="S79" i="1"/>
  <c r="R79" i="1"/>
  <c r="R77" i="1"/>
  <c r="Q79" i="1"/>
  <c r="P79" i="1"/>
  <c r="O79" i="1"/>
  <c r="N79" i="1"/>
  <c r="M79" i="1"/>
  <c r="L79" i="1"/>
  <c r="K79" i="1"/>
  <c r="J79" i="1"/>
  <c r="J77" i="1"/>
  <c r="Y73" i="1" l="1"/>
  <c r="X73" i="1"/>
  <c r="W73" i="1"/>
  <c r="V73" i="1"/>
  <c r="U73" i="1"/>
  <c r="T73" i="1"/>
  <c r="S73" i="1"/>
  <c r="Y66" i="1"/>
  <c r="X66" i="1"/>
  <c r="W66" i="1"/>
  <c r="V66" i="1"/>
  <c r="U66" i="1"/>
  <c r="T66" i="1"/>
  <c r="S66" i="1"/>
  <c r="Y65" i="1"/>
  <c r="Y77" i="1" s="1"/>
  <c r="X65" i="1"/>
  <c r="X77" i="1" s="1"/>
  <c r="W65" i="1"/>
  <c r="W77" i="1" s="1"/>
  <c r="V65" i="1"/>
  <c r="V77" i="1" s="1"/>
  <c r="U65" i="1"/>
  <c r="U77" i="1" s="1"/>
  <c r="T65" i="1"/>
  <c r="T77" i="1" s="1"/>
  <c r="S65" i="1"/>
  <c r="S77" i="1" s="1"/>
  <c r="S57" i="1"/>
  <c r="T57" i="1" s="1"/>
  <c r="U57" i="1" s="1"/>
  <c r="V57" i="1" s="1"/>
  <c r="W57" i="1" s="1"/>
  <c r="X57" i="1" s="1"/>
  <c r="Y57" i="1" s="1"/>
  <c r="S56" i="1"/>
  <c r="T56" i="1" s="1"/>
  <c r="U56" i="1" s="1"/>
  <c r="V56" i="1" s="1"/>
  <c r="W56" i="1" s="1"/>
  <c r="X56" i="1" s="1"/>
  <c r="Y56" i="1" s="1"/>
  <c r="Y53" i="1"/>
  <c r="X53" i="1"/>
  <c r="W53" i="1"/>
  <c r="V53" i="1"/>
  <c r="U53" i="1"/>
  <c r="T53" i="1"/>
  <c r="S53" i="1"/>
  <c r="S49" i="1"/>
  <c r="S54" i="1" s="1"/>
  <c r="S55" i="1" s="1"/>
  <c r="Y39" i="1"/>
  <c r="Y49" i="1" s="1"/>
  <c r="Y54" i="1" s="1"/>
  <c r="Y55" i="1" s="1"/>
  <c r="X39" i="1"/>
  <c r="X49" i="1" s="1"/>
  <c r="X54" i="1" s="1"/>
  <c r="X55" i="1" s="1"/>
  <c r="W39" i="1"/>
  <c r="W49" i="1" s="1"/>
  <c r="W54" i="1" s="1"/>
  <c r="W55" i="1" s="1"/>
  <c r="V39" i="1"/>
  <c r="V49" i="1" s="1"/>
  <c r="V54" i="1" s="1"/>
  <c r="V55" i="1" s="1"/>
  <c r="U39" i="1"/>
  <c r="U49" i="1" s="1"/>
  <c r="U54" i="1" s="1"/>
  <c r="U55" i="1" s="1"/>
  <c r="T39" i="1"/>
  <c r="T49" i="1" s="1"/>
  <c r="T54" i="1" s="1"/>
  <c r="T55" i="1" s="1"/>
  <c r="T35" i="1"/>
  <c r="U35" i="1" s="1"/>
  <c r="V35" i="1" s="1"/>
  <c r="W35" i="1" s="1"/>
  <c r="X35" i="1" s="1"/>
  <c r="Y35" i="1" s="1"/>
  <c r="T34" i="1"/>
  <c r="U34" i="1" s="1"/>
  <c r="V34" i="1" s="1"/>
  <c r="W34" i="1" s="1"/>
  <c r="X34" i="1" s="1"/>
  <c r="Y34" i="1" s="1"/>
  <c r="T33" i="1"/>
  <c r="U33" i="1" s="1"/>
  <c r="V33" i="1" s="1"/>
  <c r="W33" i="1" s="1"/>
  <c r="X33" i="1" s="1"/>
  <c r="Y33" i="1" s="1"/>
  <c r="L65" i="1"/>
  <c r="L77" i="1" s="1"/>
  <c r="M65" i="1"/>
  <c r="M77" i="1" s="1"/>
  <c r="N65" i="1"/>
  <c r="N77" i="1" s="1"/>
  <c r="O65" i="1"/>
  <c r="O77" i="1" s="1"/>
  <c r="P65" i="1"/>
  <c r="P77" i="1" s="1"/>
  <c r="Q65" i="1"/>
  <c r="Q77" i="1" s="1"/>
  <c r="K65" i="1"/>
  <c r="K77" i="1" s="1"/>
  <c r="Q73" i="1"/>
  <c r="P73" i="1"/>
  <c r="O73" i="1"/>
  <c r="N73" i="1"/>
  <c r="M73" i="1"/>
  <c r="L73" i="1"/>
  <c r="K73" i="1"/>
  <c r="Q66" i="1"/>
  <c r="P66" i="1"/>
  <c r="O66" i="1"/>
  <c r="N66" i="1"/>
  <c r="M66" i="1"/>
  <c r="L66" i="1"/>
  <c r="K66" i="1"/>
  <c r="K57" i="1"/>
  <c r="L57" i="1" s="1"/>
  <c r="M57" i="1" s="1"/>
  <c r="N57" i="1" s="1"/>
  <c r="O57" i="1" s="1"/>
  <c r="P57" i="1" s="1"/>
  <c r="Q57" i="1" s="1"/>
  <c r="K56" i="1"/>
  <c r="L56" i="1" s="1"/>
  <c r="M56" i="1" s="1"/>
  <c r="N56" i="1" s="1"/>
  <c r="O56" i="1" s="1"/>
  <c r="P56" i="1" s="1"/>
  <c r="Q56" i="1" s="1"/>
  <c r="K53" i="1"/>
  <c r="K49" i="1"/>
  <c r="K54" i="1" s="1"/>
  <c r="K55" i="1" s="1"/>
  <c r="Q39" i="1"/>
  <c r="Q49" i="1" s="1"/>
  <c r="Q50" i="1" s="1"/>
  <c r="P39" i="1"/>
  <c r="P49" i="1" s="1"/>
  <c r="P50" i="1" s="1"/>
  <c r="O39" i="1"/>
  <c r="O49" i="1" s="1"/>
  <c r="O50" i="1" s="1"/>
  <c r="N39" i="1"/>
  <c r="N49" i="1" s="1"/>
  <c r="N50" i="1" s="1"/>
  <c r="M39" i="1"/>
  <c r="M49" i="1" s="1"/>
  <c r="M50" i="1" s="1"/>
  <c r="L39" i="1"/>
  <c r="L49" i="1" s="1"/>
  <c r="L50" i="1" s="1"/>
  <c r="L35" i="1"/>
  <c r="M35" i="1" s="1"/>
  <c r="N35" i="1" s="1"/>
  <c r="O35" i="1" s="1"/>
  <c r="P35" i="1" s="1"/>
  <c r="Q35" i="1" s="1"/>
  <c r="L34" i="1"/>
  <c r="M34" i="1" s="1"/>
  <c r="N34" i="1" s="1"/>
  <c r="O34" i="1" s="1"/>
  <c r="P34" i="1" s="1"/>
  <c r="Q34" i="1" s="1"/>
  <c r="L33" i="1"/>
  <c r="M33" i="1" s="1"/>
  <c r="N33" i="1" s="1"/>
  <c r="O33" i="1" s="1"/>
  <c r="P33" i="1" s="1"/>
  <c r="Q33" i="1" s="1"/>
  <c r="I73" i="1"/>
  <c r="H73" i="1"/>
  <c r="G73" i="1"/>
  <c r="I66" i="1"/>
  <c r="H66" i="1"/>
  <c r="G66" i="1"/>
  <c r="I65" i="1"/>
  <c r="H65" i="1"/>
  <c r="G65" i="1"/>
  <c r="I53" i="1"/>
  <c r="H53" i="1"/>
  <c r="G53" i="1"/>
  <c r="I39" i="1"/>
  <c r="I49" i="1" s="1"/>
  <c r="H39" i="1"/>
  <c r="H49" i="1" s="1"/>
  <c r="G39" i="1"/>
  <c r="G49" i="1" s="1"/>
  <c r="D73" i="1"/>
  <c r="E73" i="1"/>
  <c r="F73" i="1"/>
  <c r="J73" i="1"/>
  <c r="R73" i="1"/>
  <c r="S75" i="1" s="1"/>
  <c r="C73" i="1"/>
  <c r="D88" i="4"/>
  <c r="E88" i="4"/>
  <c r="F88" i="4"/>
  <c r="C88" i="4"/>
  <c r="F66" i="1"/>
  <c r="F65" i="1"/>
  <c r="D65" i="1"/>
  <c r="E65" i="1"/>
  <c r="D66" i="1"/>
  <c r="E66" i="1"/>
  <c r="C65" i="1"/>
  <c r="C66" i="1"/>
  <c r="E67" i="5"/>
  <c r="F53" i="1"/>
  <c r="E53" i="1"/>
  <c r="F39" i="1"/>
  <c r="E39" i="1"/>
  <c r="D35" i="1"/>
  <c r="E35" i="1" s="1"/>
  <c r="F35" i="1" s="1"/>
  <c r="G35" i="1" s="1"/>
  <c r="H35" i="1" s="1"/>
  <c r="I35" i="1" s="1"/>
  <c r="D34" i="1"/>
  <c r="E34" i="1" s="1"/>
  <c r="F34" i="1" s="1"/>
  <c r="G34" i="1" s="1"/>
  <c r="H34" i="1" s="1"/>
  <c r="I34" i="1" s="1"/>
  <c r="D33" i="1"/>
  <c r="E33" i="1" s="1"/>
  <c r="F33" i="1" s="1"/>
  <c r="G33" i="1" s="1"/>
  <c r="H33" i="1" s="1"/>
  <c r="I33" i="1" s="1"/>
  <c r="G54" i="1" l="1"/>
  <c r="G55" i="1" s="1"/>
  <c r="G50" i="1"/>
  <c r="H54" i="1"/>
  <c r="H55" i="1" s="1"/>
  <c r="H50" i="1"/>
  <c r="I54" i="1"/>
  <c r="I55" i="1" s="1"/>
  <c r="I50" i="1"/>
  <c r="Q53" i="1"/>
  <c r="Q54" i="1" s="1"/>
  <c r="Q55" i="1" s="1"/>
  <c r="P53" i="1"/>
  <c r="P54" i="1" s="1"/>
  <c r="P55" i="1" s="1"/>
  <c r="O53" i="1"/>
  <c r="O54" i="1" s="1"/>
  <c r="O55" i="1" s="1"/>
  <c r="N53" i="1"/>
  <c r="N54" i="1" s="1"/>
  <c r="N55" i="1" s="1"/>
  <c r="M53" i="1"/>
  <c r="M54" i="1" s="1"/>
  <c r="M55" i="1" s="1"/>
  <c r="L53" i="1"/>
  <c r="L54" i="1" s="1"/>
  <c r="L55" i="1" s="1"/>
  <c r="S74" i="1"/>
  <c r="Y74" i="1"/>
  <c r="Y75" i="1"/>
  <c r="X74" i="1"/>
  <c r="X75" i="1"/>
  <c r="W74" i="1"/>
  <c r="W75" i="1"/>
  <c r="V74" i="1"/>
  <c r="V75" i="1"/>
  <c r="U74" i="1"/>
  <c r="U75" i="1"/>
  <c r="T74" i="1"/>
  <c r="T75" i="1"/>
  <c r="K75" i="1"/>
  <c r="K74" i="1"/>
  <c r="Q75" i="1"/>
  <c r="Q74" i="1"/>
  <c r="P75" i="1"/>
  <c r="P74" i="1"/>
  <c r="O75" i="1"/>
  <c r="O74" i="1"/>
  <c r="N75" i="1"/>
  <c r="N74" i="1"/>
  <c r="M75" i="1"/>
  <c r="M74" i="1"/>
  <c r="L75" i="1"/>
  <c r="L74" i="1"/>
  <c r="E49" i="1"/>
  <c r="F49" i="1"/>
  <c r="E87" i="4"/>
  <c r="F87" i="4"/>
  <c r="D87" i="4"/>
  <c r="C87" i="4"/>
  <c r="F67" i="5"/>
  <c r="D67" i="5"/>
  <c r="C67" i="5"/>
  <c r="E72" i="4"/>
  <c r="F72" i="4"/>
  <c r="C72" i="4"/>
  <c r="F55" i="5"/>
  <c r="E55" i="5"/>
  <c r="C55" i="5"/>
  <c r="E50" i="4"/>
  <c r="F50" i="4" s="1"/>
  <c r="E42" i="4"/>
  <c r="F42" i="4"/>
  <c r="C42" i="4"/>
  <c r="D45" i="4"/>
  <c r="D44" i="4"/>
  <c r="D43" i="4"/>
  <c r="D72" i="4" s="1"/>
  <c r="D56" i="5" s="1"/>
  <c r="D22" i="4"/>
  <c r="D21" i="4"/>
  <c r="F54" i="1" l="1"/>
  <c r="F55" i="1" s="1"/>
  <c r="F50" i="1"/>
  <c r="E54" i="1"/>
  <c r="E55" i="1" s="1"/>
  <c r="E50" i="1"/>
  <c r="D42" i="4"/>
  <c r="D73" i="4"/>
  <c r="D55" i="5"/>
  <c r="C56" i="5"/>
  <c r="C73" i="4"/>
  <c r="F56" i="5"/>
  <c r="F73" i="4"/>
  <c r="E56" i="5"/>
  <c r="E73" i="4"/>
  <c r="D39" i="1" l="1"/>
  <c r="G141" i="5"/>
  <c r="C141" i="5"/>
  <c r="B59" i="4"/>
  <c r="C59" i="4"/>
  <c r="C63" i="4"/>
  <c r="B66" i="4"/>
  <c r="C66" i="4"/>
  <c r="B67" i="4"/>
  <c r="C67" i="4"/>
  <c r="C68" i="4"/>
  <c r="B69" i="4"/>
  <c r="C139" i="5" s="1"/>
  <c r="G139" i="5" s="1"/>
  <c r="C69" i="4"/>
  <c r="B70" i="4"/>
  <c r="C140" i="5" s="1"/>
  <c r="C70" i="4"/>
  <c r="C71" i="4" s="1"/>
  <c r="C80" i="4"/>
  <c r="C79" i="4"/>
  <c r="C78" i="4"/>
  <c r="B76" i="1"/>
  <c r="C53" i="1"/>
  <c r="D53" i="1"/>
  <c r="D49" i="1"/>
  <c r="C49" i="1"/>
  <c r="E59" i="4"/>
  <c r="E62" i="4" s="1"/>
  <c r="E63" i="4" s="1"/>
  <c r="F72" i="5"/>
  <c r="D72" i="5"/>
  <c r="D70" i="5"/>
  <c r="C72" i="5"/>
  <c r="D54" i="1" l="1"/>
  <c r="D55" i="1" s="1"/>
  <c r="D50" i="1"/>
  <c r="C60" i="5"/>
  <c r="G140" i="5"/>
  <c r="G142" i="5" s="1"/>
  <c r="G143" i="5" s="1"/>
  <c r="C142" i="5"/>
  <c r="C36" i="4" s="1"/>
  <c r="C143" i="5"/>
  <c r="C64" i="5"/>
  <c r="D64" i="5"/>
  <c r="E64" i="5"/>
  <c r="D36" i="4" l="1"/>
  <c r="E36" i="4" s="1"/>
  <c r="F36" i="4" s="1"/>
  <c r="D37" i="4"/>
  <c r="D49" i="4" s="1"/>
  <c r="F64" i="5"/>
  <c r="C118" i="5" l="1"/>
  <c r="C97" i="5"/>
  <c r="F118" i="5"/>
  <c r="H118" i="5" s="1"/>
  <c r="F97" i="5" l="1"/>
  <c r="H97" i="5"/>
  <c r="F125" i="5"/>
  <c r="F126" i="5"/>
  <c r="F127" i="5"/>
  <c r="F128" i="5"/>
  <c r="F129" i="5"/>
  <c r="F130" i="5"/>
  <c r="F131" i="5"/>
  <c r="F132" i="5"/>
  <c r="F133" i="5"/>
  <c r="F134" i="5"/>
  <c r="F135" i="5"/>
  <c r="F124" i="5"/>
  <c r="F136" i="5"/>
  <c r="I136" i="5"/>
  <c r="F104" i="5"/>
  <c r="F105" i="5"/>
  <c r="F106" i="5"/>
  <c r="F107" i="5"/>
  <c r="F108" i="5"/>
  <c r="F109" i="5"/>
  <c r="F110" i="5"/>
  <c r="F111" i="5"/>
  <c r="F112" i="5"/>
  <c r="F113" i="5"/>
  <c r="F114" i="5"/>
  <c r="F103" i="5"/>
  <c r="C65" i="5" l="1"/>
  <c r="D65" i="5"/>
  <c r="E65" i="5"/>
  <c r="F115" i="5"/>
  <c r="F65" i="5" l="1"/>
  <c r="E75" i="5"/>
  <c r="E66" i="5"/>
  <c r="D75" i="5"/>
  <c r="D66" i="5"/>
  <c r="C66" i="5"/>
  <c r="C75" i="5"/>
  <c r="C78" i="5" l="1"/>
  <c r="C74" i="5"/>
  <c r="D74" i="5"/>
  <c r="D76" i="5" s="1"/>
  <c r="D78" i="5"/>
  <c r="E78" i="5"/>
  <c r="F75" i="5"/>
  <c r="F66" i="5"/>
  <c r="F59" i="4"/>
  <c r="F62" i="4" s="1"/>
  <c r="F63" i="4" s="1"/>
  <c r="D59" i="4"/>
  <c r="D62" i="4" s="1"/>
  <c r="D63" i="4" s="1"/>
  <c r="F74" i="5" l="1"/>
  <c r="F78" i="5"/>
  <c r="E66" i="4"/>
  <c r="E67" i="4" s="1"/>
  <c r="F66" i="4"/>
  <c r="F67" i="4" s="1"/>
  <c r="D66" i="4" l="1"/>
  <c r="D67" i="4" s="1"/>
  <c r="R49" i="1"/>
  <c r="R54" i="1"/>
  <c r="B69" i="1"/>
  <c r="B73" i="1" s="1"/>
  <c r="E74" i="1" s="1"/>
  <c r="C57" i="1"/>
  <c r="D57" i="1" s="1"/>
  <c r="E57" i="1" s="1"/>
  <c r="F57" i="1" s="1"/>
  <c r="G57" i="1" s="1"/>
  <c r="H57" i="1" s="1"/>
  <c r="I57" i="1" s="1"/>
  <c r="C56" i="1"/>
  <c r="D56" i="1" s="1"/>
  <c r="C54" i="1"/>
  <c r="C55" i="1" s="1"/>
  <c r="C74" i="1" s="1"/>
  <c r="C30" i="5"/>
  <c r="C29" i="5"/>
  <c r="E46" i="5"/>
  <c r="E19" i="5"/>
  <c r="E15" i="5"/>
  <c r="E14" i="5"/>
  <c r="C15" i="5"/>
  <c r="E47" i="5"/>
  <c r="C19" i="5"/>
  <c r="C14" i="5"/>
  <c r="E52" i="5"/>
  <c r="E48" i="5"/>
  <c r="E49" i="5" s="1"/>
  <c r="E50" i="5" s="1"/>
  <c r="E51" i="5" s="1"/>
  <c r="E4" i="5"/>
  <c r="E3" i="5"/>
  <c r="B6" i="5"/>
  <c r="B3" i="5"/>
  <c r="I75" i="1" l="1"/>
  <c r="H75" i="1"/>
  <c r="G75" i="1"/>
  <c r="G74" i="1"/>
  <c r="H74" i="1"/>
  <c r="I74" i="1"/>
  <c r="E56" i="1"/>
  <c r="C20" i="5"/>
  <c r="E20" i="5"/>
  <c r="E6" i="5"/>
  <c r="C17" i="5"/>
  <c r="E7" i="5"/>
  <c r="F56" i="1" l="1"/>
  <c r="G56" i="1" s="1"/>
  <c r="H56" i="1" s="1"/>
  <c r="I56" i="1" s="1"/>
  <c r="C75" i="1"/>
  <c r="C21" i="5"/>
  <c r="E17" i="5"/>
  <c r="E21" i="5"/>
  <c r="D74" i="1" l="1"/>
  <c r="D75" i="1"/>
  <c r="B4" i="5"/>
  <c r="B7" i="5"/>
  <c r="B5" i="5"/>
  <c r="D26" i="4"/>
  <c r="D14" i="4"/>
  <c r="B68" i="1"/>
  <c r="I79" i="1" l="1"/>
  <c r="H79" i="1"/>
  <c r="G79" i="1"/>
  <c r="F79" i="1"/>
  <c r="E79" i="1"/>
  <c r="D79" i="1"/>
  <c r="C79" i="1"/>
  <c r="I77" i="1"/>
  <c r="H77" i="1"/>
  <c r="G77" i="1"/>
  <c r="F77" i="1"/>
  <c r="E77" i="1"/>
  <c r="D77" i="1"/>
  <c r="C77" i="1"/>
  <c r="B79" i="1"/>
  <c r="B77" i="1"/>
  <c r="F74" i="1"/>
  <c r="F75" i="1"/>
  <c r="E75" i="1"/>
  <c r="C18" i="5"/>
  <c r="D69" i="4"/>
  <c r="C32" i="5"/>
  <c r="C33" i="5" s="1"/>
  <c r="E18" i="5"/>
  <c r="E22" i="5" s="1"/>
  <c r="E23" i="5" s="1"/>
  <c r="C22" i="5"/>
  <c r="C23" i="5" s="1"/>
  <c r="E5" i="5"/>
  <c r="E8" i="5" s="1"/>
  <c r="E9" i="5" s="1"/>
  <c r="C16" i="5"/>
  <c r="C31" i="5" s="1"/>
  <c r="C34" i="5" s="1"/>
  <c r="C35" i="5" s="1"/>
  <c r="B8" i="5"/>
  <c r="E16" i="5" l="1"/>
  <c r="E24" i="5" s="1"/>
  <c r="E25" i="5" s="1"/>
  <c r="C24" i="5"/>
  <c r="C25" i="5" s="1"/>
  <c r="B9" i="5"/>
  <c r="D10" i="4" l="1"/>
  <c r="D7" i="4"/>
  <c r="D12" i="4"/>
  <c r="D11" i="4"/>
  <c r="D6" i="4"/>
  <c r="G17" i="4"/>
  <c r="G16" i="4"/>
  <c r="D17" i="4"/>
  <c r="D16" i="4"/>
  <c r="I100" i="5" l="1"/>
  <c r="K100" i="5" s="1"/>
  <c r="G135" i="5"/>
  <c r="H135" i="5" s="1"/>
  <c r="G134" i="5"/>
  <c r="H134" i="5" s="1"/>
  <c r="G133" i="5"/>
  <c r="H133" i="5" s="1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G104" i="5"/>
  <c r="H104" i="5" s="1"/>
  <c r="G105" i="5"/>
  <c r="H105" i="5" s="1"/>
  <c r="G106" i="5"/>
  <c r="H106" i="5" s="1"/>
  <c r="G107" i="5"/>
  <c r="H107" i="5" s="1"/>
  <c r="G108" i="5"/>
  <c r="H108" i="5" s="1"/>
  <c r="G109" i="5"/>
  <c r="H109" i="5" s="1"/>
  <c r="G110" i="5"/>
  <c r="H110" i="5" s="1"/>
  <c r="G111" i="5"/>
  <c r="H111" i="5" s="1"/>
  <c r="G112" i="5"/>
  <c r="H112" i="5" s="1"/>
  <c r="G113" i="5"/>
  <c r="H113" i="5" s="1"/>
  <c r="G114" i="5"/>
  <c r="H114" i="5" s="1"/>
  <c r="G103" i="5"/>
  <c r="C70" i="5"/>
  <c r="I121" i="5"/>
  <c r="K121" i="5" s="1"/>
  <c r="N121" i="5"/>
  <c r="D70" i="4" l="1"/>
  <c r="D71" i="4" s="1"/>
  <c r="J125" i="5"/>
  <c r="J126" i="5"/>
  <c r="J127" i="5"/>
  <c r="J128" i="5"/>
  <c r="J129" i="5"/>
  <c r="J130" i="5"/>
  <c r="J131" i="5"/>
  <c r="J132" i="5"/>
  <c r="J133" i="5"/>
  <c r="J134" i="5"/>
  <c r="J135" i="5"/>
  <c r="J124" i="5"/>
  <c r="J136" i="5" s="1"/>
  <c r="G115" i="5"/>
  <c r="H103" i="5"/>
  <c r="H115" i="5" s="1"/>
  <c r="G136" i="5"/>
  <c r="H124" i="5"/>
  <c r="K125" i="5"/>
  <c r="L125" i="5" s="1"/>
  <c r="K126" i="5"/>
  <c r="L126" i="5" s="1"/>
  <c r="K127" i="5"/>
  <c r="L127" i="5" s="1"/>
  <c r="K128" i="5"/>
  <c r="L128" i="5" s="1"/>
  <c r="K129" i="5"/>
  <c r="L129" i="5" s="1"/>
  <c r="K130" i="5"/>
  <c r="L130" i="5" s="1"/>
  <c r="K131" i="5"/>
  <c r="L131" i="5" s="1"/>
  <c r="K132" i="5"/>
  <c r="L132" i="5" s="1"/>
  <c r="K133" i="5"/>
  <c r="L133" i="5" s="1"/>
  <c r="K134" i="5"/>
  <c r="L134" i="5" s="1"/>
  <c r="K135" i="5"/>
  <c r="L135" i="5" s="1"/>
  <c r="E69" i="4"/>
  <c r="E70" i="4"/>
  <c r="B81" i="4"/>
  <c r="E71" i="4" l="1"/>
  <c r="D60" i="5"/>
  <c r="B93" i="4"/>
  <c r="C57" i="5"/>
  <c r="F70" i="4"/>
  <c r="F69" i="4"/>
  <c r="F71" i="4" s="1"/>
  <c r="E72" i="5"/>
  <c r="E74" i="5" s="1"/>
  <c r="K124" i="5"/>
  <c r="L124" i="5" s="1"/>
  <c r="L136" i="5" s="1"/>
  <c r="H136" i="5"/>
  <c r="K136" i="5" s="1"/>
  <c r="B85" i="4"/>
  <c r="B90" i="4" s="1"/>
  <c r="B84" i="4"/>
  <c r="B96" i="4" l="1"/>
  <c r="B94" i="4"/>
  <c r="F60" i="5"/>
  <c r="E60" i="5"/>
  <c r="C77" i="4"/>
  <c r="C76" i="4"/>
  <c r="F70" i="5"/>
  <c r="F76" i="5" s="1"/>
  <c r="E70" i="5"/>
  <c r="E76" i="5" s="1"/>
  <c r="D13" i="4" l="1"/>
  <c r="D15" i="4" l="1"/>
  <c r="D25" i="4" l="1"/>
  <c r="B49" i="1" l="1"/>
  <c r="F68" i="4" l="1"/>
  <c r="E68" i="4"/>
  <c r="D68" i="4"/>
  <c r="B54" i="1"/>
  <c r="R55" i="1"/>
  <c r="J55" i="1"/>
  <c r="C76" i="5" l="1"/>
  <c r="C68" i="5"/>
  <c r="D57" i="5"/>
  <c r="D68" i="5"/>
  <c r="D77" i="5"/>
  <c r="D79" i="5"/>
  <c r="E57" i="5" l="1"/>
  <c r="F57" i="5"/>
  <c r="E68" i="5"/>
  <c r="E77" i="5" s="1"/>
  <c r="E79" i="5" s="1"/>
  <c r="D83" i="5"/>
  <c r="D80" i="5"/>
  <c r="D81" i="5" s="1"/>
  <c r="C83" i="5"/>
  <c r="C80" i="5"/>
  <c r="C81" i="5" s="1"/>
  <c r="C77" i="5"/>
  <c r="C79" i="5" s="1"/>
  <c r="E83" i="5"/>
  <c r="E80" i="5"/>
  <c r="E81" i="5" s="1"/>
  <c r="F68" i="5"/>
  <c r="F77" i="5" l="1"/>
  <c r="F79" i="5" s="1"/>
  <c r="F83" i="5"/>
  <c r="F80" i="5"/>
  <c r="F81" i="5" s="1"/>
  <c r="E82" i="5"/>
  <c r="E84" i="5"/>
  <c r="C84" i="5"/>
  <c r="C82" i="5"/>
  <c r="D82" i="5"/>
  <c r="D84" i="5"/>
  <c r="D87" i="5" l="1"/>
  <c r="D88" i="5" s="1"/>
  <c r="D89" i="5"/>
  <c r="C87" i="5"/>
  <c r="C88" i="5" s="1"/>
  <c r="C89" i="5"/>
  <c r="E87" i="5"/>
  <c r="E88" i="5" s="1"/>
  <c r="E89" i="5"/>
  <c r="F82" i="5"/>
  <c r="F84" i="5"/>
  <c r="E92" i="5" l="1"/>
  <c r="E74" i="4" s="1"/>
  <c r="E93" i="5"/>
  <c r="E75" i="4" s="1"/>
  <c r="E94" i="5"/>
  <c r="C93" i="5"/>
  <c r="C75" i="4" s="1"/>
  <c r="C81" i="4" s="1"/>
  <c r="C95" i="4" s="1"/>
  <c r="C92" i="5"/>
  <c r="C74" i="4" s="1"/>
  <c r="C94" i="5"/>
  <c r="C83" i="4" s="1"/>
  <c r="C86" i="4" s="1"/>
  <c r="D92" i="5"/>
  <c r="D74" i="4" s="1"/>
  <c r="D93" i="5"/>
  <c r="D75" i="4" s="1"/>
  <c r="D81" i="4" s="1"/>
  <c r="D95" i="4" s="1"/>
  <c r="D94" i="5"/>
  <c r="D83" i="4" s="1"/>
  <c r="D86" i="4" s="1"/>
  <c r="F87" i="5"/>
  <c r="F88" i="5" s="1"/>
  <c r="E81" i="4" l="1"/>
  <c r="E95" i="4" s="1"/>
  <c r="E83" i="4"/>
  <c r="E86" i="4" s="1"/>
  <c r="F89" i="5"/>
  <c r="D82" i="4"/>
  <c r="C82" i="4"/>
  <c r="E82" i="4"/>
  <c r="E93" i="4" l="1"/>
  <c r="E84" i="4"/>
  <c r="D93" i="4"/>
  <c r="D84" i="4"/>
  <c r="C93" i="4"/>
  <c r="C84" i="4"/>
  <c r="E85" i="4"/>
  <c r="E90" i="4" s="1"/>
  <c r="C85" i="4"/>
  <c r="C90" i="4" s="1"/>
  <c r="D85" i="4"/>
  <c r="D90" i="4" s="1"/>
  <c r="F92" i="5"/>
  <c r="F74" i="4" s="1"/>
  <c r="F93" i="5"/>
  <c r="D92" i="4"/>
  <c r="D91" i="4"/>
  <c r="C96" i="4" l="1"/>
  <c r="C94" i="4"/>
  <c r="D96" i="4"/>
  <c r="D94" i="4"/>
  <c r="E96" i="4"/>
  <c r="E94" i="4"/>
  <c r="F75" i="4"/>
  <c r="F81" i="4" s="1"/>
  <c r="F94" i="5"/>
  <c r="F83" i="4" s="1"/>
  <c r="F86" i="4" s="1"/>
  <c r="F82" i="4"/>
  <c r="C92" i="4"/>
  <c r="C91" i="4"/>
  <c r="E91" i="4"/>
  <c r="E92" i="4"/>
  <c r="F95" i="4" l="1"/>
  <c r="F93" i="4"/>
  <c r="F84" i="4"/>
  <c r="F85" i="4"/>
  <c r="F90" i="4" s="1"/>
  <c r="F96" i="4" l="1"/>
  <c r="F94" i="4"/>
  <c r="F92" i="4"/>
  <c r="F91" i="4"/>
</calcChain>
</file>

<file path=xl/sharedStrings.xml><?xml version="1.0" encoding="utf-8"?>
<sst xmlns="http://schemas.openxmlformats.org/spreadsheetml/2006/main" count="565" uniqueCount="267">
  <si>
    <t>Bezeichnung</t>
  </si>
  <si>
    <t>Investition</t>
  </si>
  <si>
    <t>Kosteneinsparung nach 20 Jahren</t>
  </si>
  <si>
    <t>Autarkie Wärme</t>
  </si>
  <si>
    <t>Autarkie Strom</t>
  </si>
  <si>
    <t>Förderung</t>
  </si>
  <si>
    <t>Solarthermie</t>
  </si>
  <si>
    <t>Wärmeerzeuger</t>
  </si>
  <si>
    <t>Schornstein</t>
  </si>
  <si>
    <t>Gasanschluss</t>
  </si>
  <si>
    <t>Heizsystem</t>
  </si>
  <si>
    <t>Photovoltaik</t>
  </si>
  <si>
    <t>Batteriespeicher</t>
  </si>
  <si>
    <t>verbleibende Investition</t>
  </si>
  <si>
    <t>Stromverbrauch</t>
  </si>
  <si>
    <t>kWh/a</t>
  </si>
  <si>
    <t>Amortisationszeit (a - Jahre)</t>
  </si>
  <si>
    <t>CO2 (t/a - Tonnen pro Jahr)</t>
  </si>
  <si>
    <t>Endenergie (kWh/a - kWh pro Jahr)</t>
  </si>
  <si>
    <t>Gaspreis</t>
  </si>
  <si>
    <t>Strompreis</t>
  </si>
  <si>
    <t>Cent/kWh</t>
  </si>
  <si>
    <t>Strom</t>
  </si>
  <si>
    <t>Holzpreis</t>
  </si>
  <si>
    <t>Pelletpreis</t>
  </si>
  <si>
    <t>€/ rm</t>
  </si>
  <si>
    <t>€/ t</t>
  </si>
  <si>
    <t>kWh/rm</t>
  </si>
  <si>
    <t>kWh/t</t>
  </si>
  <si>
    <t>CO2-Faktoren:</t>
  </si>
  <si>
    <t>Gas</t>
  </si>
  <si>
    <t>Holz</t>
  </si>
  <si>
    <t>Pellet</t>
  </si>
  <si>
    <t>kg/kWh</t>
  </si>
  <si>
    <t>Ausgangswerte:</t>
  </si>
  <si>
    <t>Ist-Zustand</t>
  </si>
  <si>
    <t>Brennstofflager</t>
  </si>
  <si>
    <t>Wasserspeicher</t>
  </si>
  <si>
    <t>Instandhaltungsanteil</t>
  </si>
  <si>
    <t>Ölpreis</t>
  </si>
  <si>
    <t>Öl</t>
  </si>
  <si>
    <t>Energiekosten pro Jahr</t>
  </si>
  <si>
    <t>Wartungskosten etc. pro Jahr</t>
  </si>
  <si>
    <t>Betriebskosten pro Jahr</t>
  </si>
  <si>
    <t>Strom pro Jahr</t>
  </si>
  <si>
    <t>Investition im Vergleich</t>
  </si>
  <si>
    <t xml:space="preserve"> Investitionskosten: höchstens 5.000 € Zusatzkosten</t>
  </si>
  <si>
    <t xml:space="preserve"> Kohlendioxidbelastung: höchstens 2 Tonnen jährlich</t>
  </si>
  <si>
    <t>Betriebskosten: höchstens 1.500 € jährlich</t>
  </si>
  <si>
    <t>Autarkie Wärme: mindestens 50 Prozent</t>
  </si>
  <si>
    <t>Kosteneinsparung: mindestens 5.000 € über 20 Jahre</t>
  </si>
  <si>
    <t>Autarkie Strom: mindestens 50 Prozent</t>
  </si>
  <si>
    <t>Amortisationszeit: höchstens 10 Jahre</t>
  </si>
  <si>
    <t>Ölverbrauch</t>
  </si>
  <si>
    <t>Liter</t>
  </si>
  <si>
    <t>In diesen Feldern stehen die im Ratgeber dokumentierten Vorgabewerte</t>
  </si>
  <si>
    <t>grüne Schriftfarbe</t>
  </si>
  <si>
    <t>rote Schriftfarbe</t>
  </si>
  <si>
    <t>Bei dieser Varianten ist die Investition geringer als im Ist-Zustand</t>
  </si>
  <si>
    <t>In dieser Zeile ist die Variante ungünstiger als der Ist-Zustand</t>
  </si>
  <si>
    <t>Bitte eigene Werte eintragen</t>
  </si>
  <si>
    <t>Förderfähig für BEG EM</t>
  </si>
  <si>
    <t>Förderung BEG EM</t>
  </si>
  <si>
    <t xml:space="preserve">sonstige Förderung </t>
  </si>
  <si>
    <t>Sonstige Förderung</t>
  </si>
  <si>
    <t>Förderung Land/ Kommune</t>
  </si>
  <si>
    <t>Heizwärme pro Jahr</t>
  </si>
  <si>
    <t>Warmwasserbereitung pro Jahr</t>
  </si>
  <si>
    <t>kWh</t>
  </si>
  <si>
    <t>Autarkie Gesamt</t>
  </si>
  <si>
    <t>Autarkie Gesamt: mindestens 50 Prozent</t>
  </si>
  <si>
    <t>Gasverbrauch</t>
  </si>
  <si>
    <t>Energie für Warmwasser (aus Tab.1)</t>
  </si>
  <si>
    <t>Verluste Warmwasser (aus Tab1)</t>
  </si>
  <si>
    <t>Scheitholzverbrauch</t>
  </si>
  <si>
    <t>Pelletverbrauch</t>
  </si>
  <si>
    <t>Heizstromverbrauch</t>
  </si>
  <si>
    <t>rm</t>
  </si>
  <si>
    <t>t</t>
  </si>
  <si>
    <t>Heizstrompreis</t>
  </si>
  <si>
    <t>Erdgas pro Jahr</t>
  </si>
  <si>
    <t xml:space="preserve">                            1,4 €/ Liter</t>
  </si>
  <si>
    <t xml:space="preserve">                            12,0 ct/kWh</t>
  </si>
  <si>
    <t xml:space="preserve">                            40,0 ct/kWh</t>
  </si>
  <si>
    <t xml:space="preserve">                          4000 kWh/a</t>
  </si>
  <si>
    <t>Wirkungsgrad Heizung (Brennwert)</t>
  </si>
  <si>
    <t>€/Liter</t>
  </si>
  <si>
    <t>Neubauvorhaben</t>
  </si>
  <si>
    <t>a</t>
  </si>
  <si>
    <t>n oder a eingeben</t>
  </si>
  <si>
    <t>Vorlauftemperatur</t>
  </si>
  <si>
    <t>nur Brauchwasser</t>
  </si>
  <si>
    <t>Röhrenkollektor</t>
  </si>
  <si>
    <t>Luftkollektor</t>
  </si>
  <si>
    <t>Fläche</t>
  </si>
  <si>
    <t>Brauchwasser Anlage Flachkollektor</t>
  </si>
  <si>
    <t>Ertrag</t>
  </si>
  <si>
    <t>Solarertrag</t>
  </si>
  <si>
    <t>Öl pro Jahr</t>
  </si>
  <si>
    <t>Scheitholz pro Jahr</t>
  </si>
  <si>
    <t>Pellet pro Jahr</t>
  </si>
  <si>
    <t>Heizstrom pro Jahr</t>
  </si>
  <si>
    <t>Faktor</t>
  </si>
  <si>
    <t>Globalstrahlung</t>
  </si>
  <si>
    <t>kWh/m²a</t>
  </si>
  <si>
    <t>Globalstarhlung</t>
  </si>
  <si>
    <t>korr Solarertrag</t>
  </si>
  <si>
    <t>WW</t>
  </si>
  <si>
    <t>Heizungsunterstützung Flachkollektor</t>
  </si>
  <si>
    <t>Vorlauftemp</t>
  </si>
  <si>
    <t>Eingangsdaten:</t>
  </si>
  <si>
    <t xml:space="preserve"> WW</t>
  </si>
  <si>
    <t>Heizwärme</t>
  </si>
  <si>
    <t>VL</t>
  </si>
  <si>
    <t>Kolektorart</t>
  </si>
  <si>
    <t>Flach</t>
  </si>
  <si>
    <t>Röhre</t>
  </si>
  <si>
    <t>Luft</t>
  </si>
  <si>
    <t>Ausgabe</t>
  </si>
  <si>
    <t>Ertrag/m2</t>
  </si>
  <si>
    <t>Wenn Luft</t>
  </si>
  <si>
    <t>Wenn Flach</t>
  </si>
  <si>
    <t>wenn 4 p</t>
  </si>
  <si>
    <t>wenn wenig Heizung</t>
  </si>
  <si>
    <t>NT-Hzg</t>
  </si>
  <si>
    <t>nur WW</t>
  </si>
  <si>
    <t>Korr WW</t>
  </si>
  <si>
    <t>Korr Hzg</t>
  </si>
  <si>
    <t>Autarkie gesamt</t>
  </si>
  <si>
    <t>Brauchwasser und</t>
  </si>
  <si>
    <t>E7 PV</t>
  </si>
  <si>
    <t>E10 spez Ertrag</t>
  </si>
  <si>
    <t>E11 Stromerz</t>
  </si>
  <si>
    <t>E13 Speicher</t>
  </si>
  <si>
    <t>U 24 Haushalt</t>
  </si>
  <si>
    <t>U 18 DLE</t>
  </si>
  <si>
    <t>U19 WW sonst</t>
  </si>
  <si>
    <t>U20 WP</t>
  </si>
  <si>
    <t>U21 Ehzg</t>
  </si>
  <si>
    <t>E112 nutzb Heizen</t>
  </si>
  <si>
    <t>E113 PV korr</t>
  </si>
  <si>
    <t>E114 V mit min</t>
  </si>
  <si>
    <t>E115 V ohne min</t>
  </si>
  <si>
    <t>E116 Faktor</t>
  </si>
  <si>
    <t>E117  Vdirekt</t>
  </si>
  <si>
    <t>E118 V über Batt</t>
  </si>
  <si>
    <t>E119 Batterieeffekt</t>
  </si>
  <si>
    <t>E120 Eigenverbrgrad</t>
  </si>
  <si>
    <t>E121 E zu V</t>
  </si>
  <si>
    <t>E122 Eigenverbr ohne Batt</t>
  </si>
  <si>
    <t>E124 Speicherv</t>
  </si>
  <si>
    <t>E125 Mehrnutzen Batt</t>
  </si>
  <si>
    <t>E126 Speicherv</t>
  </si>
  <si>
    <t>E127 Eigenverbr</t>
  </si>
  <si>
    <t>Variante 7 a</t>
  </si>
  <si>
    <t>Variante 7 c</t>
  </si>
  <si>
    <t>Wärmepumpe</t>
  </si>
  <si>
    <t>Erd-Wärmepumpe</t>
  </si>
  <si>
    <t>Heizung</t>
  </si>
  <si>
    <t>Luft-Wärmepumpe</t>
  </si>
  <si>
    <t>Zentralgerät</t>
  </si>
  <si>
    <t>mit Luft/ Luft-</t>
  </si>
  <si>
    <t>ct/kWh</t>
  </si>
  <si>
    <t>Wärmepumpenstrompreis</t>
  </si>
  <si>
    <t>Dortmund, Globalstr 1000 kWh/m²</t>
  </si>
  <si>
    <t>5 kWp</t>
  </si>
  <si>
    <t>kWh/d</t>
  </si>
  <si>
    <t>Warmwasser</t>
  </si>
  <si>
    <t>kWh/Mon</t>
  </si>
  <si>
    <t>Monat</t>
  </si>
  <si>
    <t>Tage</t>
  </si>
  <si>
    <t>Em(5kWp)</t>
  </si>
  <si>
    <t>Pmax (kW)</t>
  </si>
  <si>
    <t>Tageslänge</t>
  </si>
  <si>
    <t>Deckung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</si>
  <si>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</si>
  <si>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</si>
  <si>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</si>
  <si>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</si>
  <si>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</si>
  <si>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</si>
  <si>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</si>
  <si>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</si>
  <si>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</si>
  <si>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</si>
  <si>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</si>
  <si>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</si>
  <si>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Summe</t>
  </si>
  <si>
    <t>p</t>
  </si>
  <si>
    <t>Em</t>
  </si>
  <si>
    <t>Warmw</t>
  </si>
  <si>
    <t>Wärme</t>
  </si>
  <si>
    <t>GTZ</t>
  </si>
  <si>
    <t>Heizw</t>
  </si>
  <si>
    <t>PV</t>
  </si>
  <si>
    <t>spez Ertrag</t>
  </si>
  <si>
    <t>Haushalt</t>
  </si>
  <si>
    <t>ww</t>
  </si>
  <si>
    <t>HZg</t>
  </si>
  <si>
    <t>Strom für ww</t>
  </si>
  <si>
    <t>Strom für Haush</t>
  </si>
  <si>
    <t>Stromeinspeisung</t>
  </si>
  <si>
    <t>Jahresarbeitszahl (JAZ)</t>
  </si>
  <si>
    <t>Wärmepumpenstrom pro Jahr</t>
  </si>
  <si>
    <t>Leistung Wärmepumpe</t>
  </si>
  <si>
    <t>Jahresarbeitszahl</t>
  </si>
  <si>
    <t>mit Flächenheizung</t>
  </si>
  <si>
    <t>JAZ</t>
  </si>
  <si>
    <t>Leistung WP</t>
  </si>
  <si>
    <t>Sondenlänge</t>
  </si>
  <si>
    <t>Erdsonde</t>
  </si>
  <si>
    <t>WW Nutz</t>
  </si>
  <si>
    <t>Sondenlänge gesamt</t>
  </si>
  <si>
    <t>Tabelle 9:</t>
  </si>
  <si>
    <t>zu Kapitel 3, Wärmepumpen und Photovoltaik</t>
  </si>
  <si>
    <t>Einspeisevergütung bis 10 kWp</t>
  </si>
  <si>
    <t>Einspeisevergütung über 10 kWp</t>
  </si>
  <si>
    <t>Leistung Photovoltaik</t>
  </si>
  <si>
    <t>Einspeisevergütung</t>
  </si>
  <si>
    <t>Faktor Verschattung</t>
  </si>
  <si>
    <t>Wirkungsgrad</t>
  </si>
  <si>
    <t>spezifischer Solarertrag</t>
  </si>
  <si>
    <t>Solarertrag pro Jahr</t>
  </si>
  <si>
    <t>Davon für Haushaltsstrom</t>
  </si>
  <si>
    <t>Davon für Wärmepumpe</t>
  </si>
  <si>
    <t xml:space="preserve"> Rest Wärmepumpenstrom pro Jahr</t>
  </si>
  <si>
    <t>Strom für WP</t>
  </si>
  <si>
    <t>WP</t>
  </si>
  <si>
    <t>Stromeinspeisung pro Jahr</t>
  </si>
  <si>
    <t>Einspeiseerlös pro Jahr</t>
  </si>
  <si>
    <t>Sonstige Betriebskosten</t>
  </si>
  <si>
    <t>Variante 10 a</t>
  </si>
  <si>
    <t>Variante 10 b - 1</t>
  </si>
  <si>
    <t>Variante 10 b - 2</t>
  </si>
  <si>
    <t>Variante 10 c</t>
  </si>
  <si>
    <t>Variante 10 - b -1.1</t>
  </si>
  <si>
    <t>mit PV</t>
  </si>
  <si>
    <t>Variante 10 - b -1.2</t>
  </si>
  <si>
    <t>Variante 10 - b -1.3</t>
  </si>
  <si>
    <t>mit PV + Speicher</t>
  </si>
  <si>
    <t>Batterieersatz pro Jahr</t>
  </si>
  <si>
    <t>Variante 10 - b -2.1</t>
  </si>
  <si>
    <t>Variante 10 - b -2.2</t>
  </si>
  <si>
    <t>Variante 10 - b -2.3</t>
  </si>
  <si>
    <t>Variante 10 c - 1</t>
  </si>
  <si>
    <t>mit Wärmepumpe</t>
  </si>
  <si>
    <t>Variante 10 c - 2</t>
  </si>
  <si>
    <t>Variante 10 c - 3</t>
  </si>
  <si>
    <t>Haushalt A</t>
  </si>
  <si>
    <t>Haushalt B</t>
  </si>
  <si>
    <t>Haushalt C</t>
  </si>
  <si>
    <t>Die Förderung bezieht sich auf die neue Bundesförderung für effiziente Gebäude (BEG) ab 01.01.2024</t>
  </si>
  <si>
    <t>maximale Förderfähige Kosten</t>
  </si>
  <si>
    <t>Fördersatz</t>
  </si>
  <si>
    <t>Energiepreise Stand 2023 teilweise orientiert an den Preisdeckeln, ohne Preissteigerung</t>
  </si>
  <si>
    <t>Tragen Sie hier Ihre individuellen Werte ein  - Stand 02.01.2024</t>
  </si>
  <si>
    <t>Vollständige Tabelle mit allen Varianten  - Stand 02.01.2024</t>
  </si>
  <si>
    <t>Ausrichtungsfaktor  (aus Abb.3, Kap.2)</t>
  </si>
  <si>
    <t>Wohnfläche</t>
  </si>
  <si>
    <t>m²</t>
  </si>
  <si>
    <t>Energiekennwert</t>
  </si>
  <si>
    <t>Bewertung des Energiekennwerts:</t>
  </si>
  <si>
    <t>gut</t>
  </si>
  <si>
    <t>mittel</t>
  </si>
  <si>
    <t>schlecht</t>
  </si>
  <si>
    <t>bis mittel</t>
  </si>
  <si>
    <t>bis 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</si>
</sst>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#,##0\ &quot;€&quot;;[Red]\-#,##0\ &quot;€&quot;"/>
    <numFmt numFmtId="164" formatCode="#,##0\ &quot;€&quot;"/>
    <numFmt numFmtId="165" formatCode="#,##0\ &quot;kWh/a&quot;"/>
    <numFmt numFmtId="166" formatCode="0.0\ &quot;t/a&quot;"/>
    <numFmt numFmtId="167" formatCode="0\ \ &quot;a&quot;"/>
    <numFmt numFmtId="168" formatCode="0.0\ \ &quot;a&quot;"/>
    <numFmt numFmtId="169" formatCode="#,##0.0"/>
    <numFmt numFmtId="170" formatCode="#,##0.000"/>
    <numFmt numFmtId="171" formatCode="0.0"/>
    <numFmt numFmtId="172" formatCode="0.000"/>
    <numFmt numFmtId="173" formatCode="0.0\ &quot;ct/kWh&quot;"/>
    <numFmt numFmtId="174" formatCode="#,##0\ &quot;Liter/a&quot;"/>
    <numFmt numFmtId="175" formatCode="#,##0\ &quot;oC&quot;"/>
    <numFmt numFmtId="176" formatCode="#,##0\ &quot;kWh/m²a&quot;"/>
    <numFmt numFmtId="177" formatCode="0.0%"/>
    <numFmt numFmtId="178" formatCode="#,##0\ &quot;l/a&quot;"/>
    <numFmt numFmtId="179" formatCode="0\ &quot;oC&quot;"/>
    <numFmt numFmtId="180" formatCode="0\ &quot;kWp&quot;"/>
    <numFmt numFmtId="181" formatCode="#,##0.00\ _€"/>
    <numFmt numFmtId="182" formatCode="0\ &quot;m&quot;"/>
    <numFmt numFmtId="183" formatCode="0.0\ &quot;kW&quot;"/>
    <numFmt numFmtId="184" formatCode="0.00\ &quot;Cent/kWh&quot;"/>
    <numFmt numFmtId="185" formatCode="#,##0\ &quot;kWh/kWp&quot;"/>
    <numFmt numFmtId="186" formatCode="0.0\ &quot;kWh&quot;"/>
    <numFmt numFmtId="187" formatCode="0\ &quot;m²&quot;"/>
  </numFmts>
  <fonts count="13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0"/>
      <color rgb="FF339933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34BC9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gray06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6600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166" fontId="0" fillId="0" borderId="0" xfId="0" applyNumberFormat="1"/>
    <xf numFmtId="6" fontId="0" fillId="0" borderId="0" xfId="0" applyNumberFormat="1"/>
    <xf numFmtId="0" fontId="2" fillId="0" borderId="0" xfId="0" applyFont="1" applyAlignment="1">
      <alignment horizontal="right"/>
    </xf>
    <xf numFmtId="0" fontId="6" fillId="0" borderId="0" xfId="0" applyFont="1"/>
    <xf numFmtId="0" fontId="0" fillId="10" borderId="0" xfId="0" applyFill="1"/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1" fillId="10" borderId="10" xfId="0" applyFont="1" applyFill="1" applyBorder="1"/>
    <xf numFmtId="0" fontId="0" fillId="10" borderId="11" xfId="0" applyFill="1" applyBorder="1"/>
    <xf numFmtId="0" fontId="0" fillId="10" borderId="12" xfId="0" applyFill="1" applyBorder="1"/>
    <xf numFmtId="0" fontId="0" fillId="10" borderId="10" xfId="0" applyFill="1" applyBorder="1"/>
    <xf numFmtId="0" fontId="1" fillId="0" borderId="1" xfId="0" applyFont="1" applyBorder="1"/>
    <xf numFmtId="164" fontId="0" fillId="0" borderId="1" xfId="0" applyNumberFormat="1" applyBorder="1"/>
    <xf numFmtId="0" fontId="1" fillId="0" borderId="14" xfId="0" applyFont="1" applyBorder="1"/>
    <xf numFmtId="164" fontId="1" fillId="0" borderId="14" xfId="0" applyNumberFormat="1" applyFont="1" applyBorder="1"/>
    <xf numFmtId="6" fontId="1" fillId="0" borderId="14" xfId="0" applyNumberFormat="1" applyFont="1" applyBorder="1"/>
    <xf numFmtId="165" fontId="1" fillId="0" borderId="14" xfId="0" applyNumberFormat="1" applyFont="1" applyBorder="1"/>
    <xf numFmtId="0" fontId="1" fillId="0" borderId="15" xfId="0" applyFont="1" applyBorder="1"/>
    <xf numFmtId="0" fontId="1" fillId="0" borderId="13" xfId="0" applyFont="1" applyBorder="1"/>
    <xf numFmtId="164" fontId="0" fillId="0" borderId="13" xfId="0" applyNumberFormat="1" applyBorder="1"/>
    <xf numFmtId="164" fontId="0" fillId="10" borderId="16" xfId="0" applyNumberFormat="1" applyFill="1" applyBorder="1"/>
    <xf numFmtId="164" fontId="0" fillId="10" borderId="17" xfId="0" applyNumberFormat="1" applyFill="1" applyBorder="1"/>
    <xf numFmtId="164" fontId="1" fillId="10" borderId="16" xfId="0" applyNumberFormat="1" applyFont="1" applyFill="1" applyBorder="1"/>
    <xf numFmtId="164" fontId="1" fillId="10" borderId="17" xfId="0" applyNumberFormat="1" applyFont="1" applyFill="1" applyBorder="1"/>
    <xf numFmtId="0" fontId="1" fillId="0" borderId="16" xfId="0" applyFont="1" applyBorder="1"/>
    <xf numFmtId="165" fontId="0" fillId="0" borderId="16" xfId="0" applyNumberFormat="1" applyBorder="1"/>
    <xf numFmtId="0" fontId="1" fillId="0" borderId="2" xfId="0" applyFont="1" applyBorder="1"/>
    <xf numFmtId="165" fontId="0" fillId="0" borderId="2" xfId="0" applyNumberFormat="1" applyBorder="1"/>
    <xf numFmtId="164" fontId="0" fillId="0" borderId="2" xfId="0" applyNumberFormat="1" applyBorder="1"/>
    <xf numFmtId="164" fontId="1" fillId="0" borderId="13" xfId="0" applyNumberFormat="1" applyFont="1" applyBorder="1"/>
    <xf numFmtId="164" fontId="3" fillId="0" borderId="13" xfId="0" applyNumberFormat="1" applyFont="1" applyBorder="1"/>
    <xf numFmtId="6" fontId="0" fillId="0" borderId="13" xfId="0" applyNumberFormat="1" applyBorder="1"/>
    <xf numFmtId="167" fontId="0" fillId="0" borderId="13" xfId="0" applyNumberFormat="1" applyBorder="1"/>
    <xf numFmtId="168" fontId="4" fillId="0" borderId="13" xfId="0" applyNumberFormat="1" applyFont="1" applyBorder="1"/>
    <xf numFmtId="166" fontId="0" fillId="0" borderId="13" xfId="0" applyNumberFormat="1" applyBorder="1"/>
    <xf numFmtId="9" fontId="0" fillId="0" borderId="13" xfId="0" applyNumberFormat="1" applyBorder="1"/>
    <xf numFmtId="6" fontId="0" fillId="10" borderId="18" xfId="0" applyNumberFormat="1" applyFill="1" applyBorder="1"/>
    <xf numFmtId="0" fontId="3" fillId="0" borderId="19" xfId="0" applyFont="1" applyBorder="1"/>
    <xf numFmtId="0" fontId="0" fillId="0" borderId="19" xfId="0" applyBorder="1"/>
    <xf numFmtId="0" fontId="0" fillId="0" borderId="20" xfId="0" applyBorder="1"/>
    <xf numFmtId="0" fontId="7" fillId="0" borderId="21" xfId="0" applyFont="1" applyBorder="1"/>
    <xf numFmtId="0" fontId="3" fillId="0" borderId="0" xfId="0" applyFont="1"/>
    <xf numFmtId="0" fontId="0" fillId="0" borderId="22" xfId="0" applyBorder="1"/>
    <xf numFmtId="0" fontId="5" fillId="0" borderId="23" xfId="0" applyFont="1" applyBorder="1"/>
    <xf numFmtId="0" fontId="3" fillId="0" borderId="24" xfId="0" applyFont="1" applyBorder="1"/>
    <xf numFmtId="0" fontId="0" fillId="0" borderId="24" xfId="0" applyBorder="1"/>
    <xf numFmtId="0" fontId="0" fillId="0" borderId="25" xfId="0" applyBorder="1"/>
    <xf numFmtId="6" fontId="0" fillId="4" borderId="18" xfId="0" applyNumberFormat="1" applyFill="1" applyBorder="1"/>
    <xf numFmtId="166" fontId="0" fillId="5" borderId="19" xfId="0" applyNumberFormat="1" applyFill="1" applyBorder="1"/>
    <xf numFmtId="6" fontId="0" fillId="0" borderId="19" xfId="0" applyNumberFormat="1" applyBorder="1"/>
    <xf numFmtId="164" fontId="0" fillId="6" borderId="21" xfId="0" applyNumberFormat="1" applyFill="1" applyBorder="1"/>
    <xf numFmtId="9" fontId="0" fillId="7" borderId="0" xfId="0" applyNumberFormat="1" applyFill="1"/>
    <xf numFmtId="6" fontId="0" fillId="8" borderId="21" xfId="0" applyNumberFormat="1" applyFill="1" applyBorder="1"/>
    <xf numFmtId="9" fontId="0" fillId="9" borderId="0" xfId="0" applyNumberFormat="1" applyFill="1"/>
    <xf numFmtId="167" fontId="4" fillId="3" borderId="23" xfId="0" applyNumberFormat="1" applyFont="1" applyFill="1" applyBorder="1"/>
    <xf numFmtId="0" fontId="6" fillId="11" borderId="0" xfId="0" applyFont="1" applyFill="1"/>
    <xf numFmtId="169" fontId="0" fillId="2" borderId="2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0" fontId="3" fillId="10" borderId="2" xfId="0" applyFont="1" applyFill="1" applyBorder="1"/>
    <xf numFmtId="0" fontId="0" fillId="10" borderId="2" xfId="0" applyFill="1" applyBorder="1"/>
    <xf numFmtId="4" fontId="0" fillId="2" borderId="2" xfId="0" applyNumberFormat="1" applyFill="1" applyBorder="1" applyProtection="1">
      <protection locked="0"/>
    </xf>
    <xf numFmtId="0" fontId="8" fillId="10" borderId="12" xfId="0" applyFont="1" applyFill="1" applyBorder="1"/>
    <xf numFmtId="0" fontId="1" fillId="10" borderId="2" xfId="0" applyFont="1" applyFill="1" applyBorder="1"/>
    <xf numFmtId="170" fontId="0" fillId="2" borderId="11" xfId="0" applyNumberFormat="1" applyFill="1" applyBorder="1" applyProtection="1">
      <protection locked="0"/>
    </xf>
    <xf numFmtId="0" fontId="9" fillId="10" borderId="10" xfId="0" applyFont="1" applyFill="1" applyBorder="1"/>
    <xf numFmtId="0" fontId="8" fillId="10" borderId="10" xfId="0" applyFont="1" applyFill="1" applyBorder="1"/>
    <xf numFmtId="3" fontId="8" fillId="10" borderId="10" xfId="0" applyNumberFormat="1" applyFont="1" applyFill="1" applyBorder="1"/>
    <xf numFmtId="164" fontId="0" fillId="2" borderId="1" xfId="0" applyNumberFormat="1" applyFill="1" applyBorder="1" applyProtection="1">
      <protection locked="0"/>
    </xf>
    <xf numFmtId="164" fontId="0" fillId="0" borderId="16" xfId="0" applyNumberFormat="1" applyBorder="1"/>
    <xf numFmtId="164" fontId="0" fillId="2" borderId="16" xfId="0" applyNumberFormat="1" applyFill="1" applyBorder="1" applyProtection="1">
      <protection locked="0"/>
    </xf>
    <xf numFmtId="167" fontId="4" fillId="0" borderId="13" xfId="0" applyNumberFormat="1" applyFont="1" applyBorder="1"/>
    <xf numFmtId="0" fontId="10" fillId="0" borderId="0" xfId="0" applyFont="1"/>
    <xf numFmtId="0" fontId="1" fillId="0" borderId="26" xfId="0" applyFont="1" applyBorder="1"/>
    <xf numFmtId="164" fontId="0" fillId="0" borderId="26" xfId="0" applyNumberFormat="1" applyBorder="1"/>
    <xf numFmtId="164" fontId="0" fillId="2" borderId="2" xfId="0" applyNumberFormat="1" applyFill="1" applyBorder="1" applyProtection="1">
      <protection locked="0"/>
    </xf>
    <xf numFmtId="0" fontId="1" fillId="0" borderId="27" xfId="0" applyFont="1" applyBorder="1"/>
    <xf numFmtId="164" fontId="0" fillId="0" borderId="27" xfId="0" applyNumberFormat="1" applyBorder="1"/>
    <xf numFmtId="164" fontId="0" fillId="10" borderId="2" xfId="0" applyNumberFormat="1" applyFill="1" applyBorder="1"/>
    <xf numFmtId="0" fontId="1" fillId="10" borderId="27" xfId="0" applyFont="1" applyFill="1" applyBorder="1"/>
    <xf numFmtId="164" fontId="0" fillId="10" borderId="27" xfId="0" applyNumberFormat="1" applyFill="1" applyBorder="1"/>
    <xf numFmtId="3" fontId="0" fillId="10" borderId="11" xfId="0" applyNumberFormat="1" applyFill="1" applyBorder="1"/>
    <xf numFmtId="171" fontId="8" fillId="10" borderId="10" xfId="0" applyNumberFormat="1" applyFont="1" applyFill="1" applyBorder="1"/>
    <xf numFmtId="164" fontId="0" fillId="0" borderId="14" xfId="0" applyNumberFormat="1" applyBorder="1"/>
    <xf numFmtId="172" fontId="0" fillId="10" borderId="11" xfId="0" applyNumberFormat="1" applyFill="1" applyBorder="1"/>
    <xf numFmtId="0" fontId="3" fillId="11" borderId="0" xfId="0" applyFont="1" applyFill="1" applyAlignment="1">
      <alignment vertical="top"/>
    </xf>
    <xf numFmtId="0" fontId="0" fillId="11" borderId="0" xfId="0" applyFill="1" applyAlignment="1">
      <alignment vertical="top"/>
    </xf>
    <xf numFmtId="0" fontId="8" fillId="10" borderId="0" xfId="0" applyFont="1" applyFill="1"/>
    <xf numFmtId="0" fontId="8" fillId="10" borderId="7" xfId="0" applyFont="1" applyFill="1" applyBorder="1"/>
    <xf numFmtId="172" fontId="8" fillId="10" borderId="10" xfId="0" applyNumberFormat="1" applyFont="1" applyFill="1" applyBorder="1"/>
    <xf numFmtId="165" fontId="0" fillId="0" borderId="0" xfId="0" applyNumberFormat="1"/>
    <xf numFmtId="0" fontId="11" fillId="0" borderId="0" xfId="0" applyFont="1"/>
    <xf numFmtId="165" fontId="0" fillId="0" borderId="26" xfId="0" applyNumberFormat="1" applyBorder="1"/>
    <xf numFmtId="2" fontId="0" fillId="0" borderId="0" xfId="0" applyNumberFormat="1"/>
    <xf numFmtId="0" fontId="8" fillId="10" borderId="11" xfId="0" applyFont="1" applyFill="1" applyBorder="1"/>
    <xf numFmtId="0" fontId="3" fillId="10" borderId="11" xfId="0" applyFont="1" applyFill="1" applyBorder="1"/>
    <xf numFmtId="173" fontId="12" fillId="10" borderId="11" xfId="0" applyNumberFormat="1" applyFont="1" applyFill="1" applyBorder="1" applyAlignment="1">
      <alignment horizontal="left"/>
    </xf>
    <xf numFmtId="0" fontId="0" fillId="10" borderId="28" xfId="0" applyFill="1" applyBorder="1"/>
    <xf numFmtId="3" fontId="0" fillId="2" borderId="18" xfId="0" applyNumberFormat="1" applyFill="1" applyBorder="1"/>
    <xf numFmtId="0" fontId="1" fillId="10" borderId="28" xfId="0" applyFont="1" applyFill="1" applyBorder="1"/>
    <xf numFmtId="3" fontId="8" fillId="10" borderId="10" xfId="0" applyNumberFormat="1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right"/>
    </xf>
    <xf numFmtId="175" fontId="3" fillId="2" borderId="2" xfId="0" applyNumberFormat="1" applyFont="1" applyFill="1" applyBorder="1" applyAlignment="1" applyProtection="1">
      <alignment horizontal="right"/>
      <protection locked="0"/>
    </xf>
    <xf numFmtId="176" fontId="3" fillId="10" borderId="2" xfId="0" applyNumberFormat="1" applyFont="1" applyFill="1" applyBorder="1"/>
    <xf numFmtId="0" fontId="0" fillId="12" borderId="0" xfId="0" applyFill="1"/>
    <xf numFmtId="177" fontId="0" fillId="0" borderId="13" xfId="0" applyNumberFormat="1" applyBorder="1"/>
    <xf numFmtId="178" fontId="0" fillId="0" borderId="26" xfId="0" applyNumberFormat="1" applyBorder="1"/>
    <xf numFmtId="174" fontId="3" fillId="10" borderId="2" xfId="0" applyNumberFormat="1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165" fontId="3" fillId="10" borderId="2" xfId="0" applyNumberFormat="1" applyFont="1" applyFill="1" applyBorder="1" applyAlignment="1">
      <alignment horizontal="center"/>
    </xf>
    <xf numFmtId="179" fontId="3" fillId="10" borderId="2" xfId="0" applyNumberFormat="1" applyFont="1" applyFill="1" applyBorder="1" applyAlignment="1">
      <alignment horizontal="center"/>
    </xf>
    <xf numFmtId="171" fontId="0" fillId="10" borderId="2" xfId="0" applyNumberFormat="1" applyFill="1" applyBorder="1"/>
    <xf numFmtId="0" fontId="12" fillId="0" borderId="0" xfId="0" applyFont="1"/>
    <xf numFmtId="180" fontId="12" fillId="0" borderId="0" xfId="0" applyNumberFormat="1" applyFont="1"/>
    <xf numFmtId="165" fontId="0" fillId="0" borderId="14" xfId="0" applyNumberFormat="1" applyBorder="1"/>
    <xf numFmtId="0" fontId="0" fillId="8" borderId="0" xfId="0" applyFill="1"/>
    <xf numFmtId="0" fontId="0" fillId="0" borderId="29" xfId="0" applyBorder="1"/>
    <xf numFmtId="1" fontId="0" fillId="0" borderId="29" xfId="0" applyNumberFormat="1" applyBorder="1"/>
    <xf numFmtId="2" fontId="0" fillId="0" borderId="29" xfId="0" applyNumberFormat="1" applyBorder="1"/>
    <xf numFmtId="0" fontId="0" fillId="13" borderId="29" xfId="0" applyFill="1" applyBorder="1"/>
    <xf numFmtId="1" fontId="0" fillId="13" borderId="29" xfId="0" applyNumberFormat="1" applyFill="1" applyBorder="1"/>
    <xf numFmtId="1" fontId="0" fillId="0" borderId="0" xfId="0" applyNumberFormat="1"/>
    <xf numFmtId="0" fontId="3" fillId="0" borderId="29" xfId="0" applyFont="1" applyBorder="1"/>
    <xf numFmtId="11" fontId="0" fillId="0" borderId="0" xfId="0" applyNumberFormat="1"/>
    <xf numFmtId="181" fontId="12" fillId="0" borderId="0" xfId="0" applyNumberFormat="1" applyFont="1"/>
    <xf numFmtId="4" fontId="3" fillId="2" borderId="2" xfId="0" applyNumberFormat="1" applyFont="1" applyFill="1" applyBorder="1" applyAlignment="1" applyProtection="1">
      <alignment horizontal="right"/>
      <protection locked="0"/>
    </xf>
    <xf numFmtId="4" fontId="3" fillId="2" borderId="26" xfId="0" applyNumberFormat="1" applyFont="1" applyFill="1" applyBorder="1" applyAlignment="1" applyProtection="1">
      <alignment horizontal="right"/>
      <protection locked="0"/>
    </xf>
    <xf numFmtId="0" fontId="1" fillId="10" borderId="4" xfId="0" applyFont="1" applyFill="1" applyBorder="1"/>
    <xf numFmtId="171" fontId="0" fillId="10" borderId="4" xfId="0" applyNumberFormat="1" applyFill="1" applyBorder="1"/>
    <xf numFmtId="0" fontId="3" fillId="10" borderId="5" xfId="0" applyFont="1" applyFill="1" applyBorder="1"/>
    <xf numFmtId="2" fontId="3" fillId="10" borderId="2" xfId="0" applyNumberFormat="1" applyFont="1" applyFill="1" applyBorder="1" applyAlignment="1">
      <alignment horizontal="center"/>
    </xf>
    <xf numFmtId="2" fontId="1" fillId="10" borderId="2" xfId="0" applyNumberFormat="1" applyFont="1" applyFill="1" applyBorder="1" applyAlignment="1">
      <alignment horizontal="center"/>
    </xf>
    <xf numFmtId="164" fontId="3" fillId="10" borderId="17" xfId="0" applyNumberFormat="1" applyFont="1" applyFill="1" applyBorder="1"/>
    <xf numFmtId="182" fontId="0" fillId="0" borderId="2" xfId="0" applyNumberFormat="1" applyBorder="1"/>
    <xf numFmtId="183" fontId="1" fillId="0" borderId="2" xfId="0" applyNumberFormat="1" applyFont="1" applyBorder="1"/>
    <xf numFmtId="4" fontId="0" fillId="0" borderId="0" xfId="0" applyNumberFormat="1"/>
    <xf numFmtId="183" fontId="3" fillId="0" borderId="2" xfId="0" applyNumberFormat="1" applyFont="1" applyBorder="1"/>
    <xf numFmtId="183" fontId="3" fillId="10" borderId="2" xfId="0" applyNumberFormat="1" applyFont="1" applyFill="1" applyBorder="1" applyAlignment="1">
      <alignment horizontal="center"/>
    </xf>
    <xf numFmtId="183" fontId="1" fillId="10" borderId="2" xfId="0" applyNumberFormat="1" applyFont="1" applyFill="1" applyBorder="1" applyAlignment="1">
      <alignment horizontal="center"/>
    </xf>
    <xf numFmtId="182" fontId="1" fillId="10" borderId="2" xfId="0" applyNumberFormat="1" applyFont="1" applyFill="1" applyBorder="1"/>
    <xf numFmtId="182" fontId="3" fillId="10" borderId="2" xfId="0" applyNumberFormat="1" applyFont="1" applyFill="1" applyBorder="1" applyAlignment="1">
      <alignment horizontal="center"/>
    </xf>
    <xf numFmtId="182" fontId="1" fillId="1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80" fontId="0" fillId="2" borderId="26" xfId="0" applyNumberFormat="1" applyFill="1" applyBorder="1" applyProtection="1">
      <protection locked="0"/>
    </xf>
    <xf numFmtId="184" fontId="0" fillId="0" borderId="2" xfId="0" applyNumberFormat="1" applyBorder="1"/>
    <xf numFmtId="9" fontId="3" fillId="2" borderId="2" xfId="0" applyNumberFormat="1" applyFont="1" applyFill="1" applyBorder="1" applyAlignment="1" applyProtection="1">
      <alignment horizontal="right"/>
      <protection locked="0"/>
    </xf>
    <xf numFmtId="4" fontId="3" fillId="0" borderId="26" xfId="0" applyNumberFormat="1" applyFont="1" applyBorder="1" applyAlignment="1" applyProtection="1">
      <alignment horizontal="right"/>
      <protection locked="0"/>
    </xf>
    <xf numFmtId="185" fontId="3" fillId="0" borderId="2" xfId="0" applyNumberFormat="1" applyFont="1" applyBorder="1"/>
    <xf numFmtId="186" fontId="3" fillId="2" borderId="26" xfId="0" applyNumberFormat="1" applyFont="1" applyFill="1" applyBorder="1" applyAlignment="1" applyProtection="1">
      <alignment horizontal="right"/>
      <protection locked="0"/>
    </xf>
    <xf numFmtId="164" fontId="0" fillId="14" borderId="2" xfId="0" applyNumberFormat="1" applyFill="1" applyBorder="1"/>
    <xf numFmtId="184" fontId="0" fillId="14" borderId="2" xfId="0" applyNumberFormat="1" applyFill="1" applyBorder="1"/>
    <xf numFmtId="9" fontId="3" fillId="14" borderId="2" xfId="0" applyNumberFormat="1" applyFont="1" applyFill="1" applyBorder="1" applyAlignment="1" applyProtection="1">
      <alignment horizontal="right"/>
      <protection locked="0"/>
    </xf>
    <xf numFmtId="9" fontId="3" fillId="14" borderId="2" xfId="0" applyNumberFormat="1" applyFont="1" applyFill="1" applyBorder="1" applyAlignment="1">
      <alignment horizontal="right"/>
    </xf>
    <xf numFmtId="0" fontId="1" fillId="10" borderId="26" xfId="0" applyFont="1" applyFill="1" applyBorder="1"/>
    <xf numFmtId="164" fontId="0" fillId="10" borderId="26" xfId="0" applyNumberFormat="1" applyFill="1" applyBorder="1"/>
    <xf numFmtId="180" fontId="0" fillId="14" borderId="2" xfId="0" applyNumberFormat="1" applyFill="1" applyBorder="1" applyProtection="1">
      <protection locked="0"/>
    </xf>
    <xf numFmtId="0" fontId="1" fillId="0" borderId="17" xfId="0" applyFont="1" applyBorder="1"/>
    <xf numFmtId="0" fontId="3" fillId="0" borderId="17" xfId="0" applyFont="1" applyBorder="1" applyAlignment="1">
      <alignment horizontal="center"/>
    </xf>
    <xf numFmtId="179" fontId="3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14" borderId="2" xfId="0" applyFont="1" applyFill="1" applyBorder="1"/>
    <xf numFmtId="186" fontId="3" fillId="14" borderId="2" xfId="0" applyNumberFormat="1" applyFont="1" applyFill="1" applyBorder="1" applyAlignment="1" applyProtection="1">
      <alignment horizontal="right"/>
      <protection locked="0"/>
    </xf>
    <xf numFmtId="186" fontId="3" fillId="0" borderId="26" xfId="0" applyNumberFormat="1" applyFont="1" applyBorder="1" applyAlignment="1" applyProtection="1">
      <alignment horizontal="right"/>
      <protection locked="0"/>
    </xf>
    <xf numFmtId="164" fontId="0" fillId="0" borderId="17" xfId="0" applyNumberFormat="1" applyBorder="1"/>
    <xf numFmtId="164" fontId="1" fillId="10" borderId="1" xfId="0" applyNumberFormat="1" applyFont="1" applyFill="1" applyBorder="1"/>
    <xf numFmtId="164" fontId="0" fillId="10" borderId="1" xfId="0" applyNumberFormat="1" applyFill="1" applyBorder="1"/>
    <xf numFmtId="164" fontId="3" fillId="10" borderId="1" xfId="0" applyNumberFormat="1" applyFont="1" applyFill="1" applyBorder="1"/>
    <xf numFmtId="0" fontId="1" fillId="10" borderId="3" xfId="0" applyFont="1" applyFill="1" applyBorder="1"/>
    <xf numFmtId="3" fontId="0" fillId="10" borderId="4" xfId="0" applyNumberFormat="1" applyFill="1" applyBorder="1"/>
    <xf numFmtId="172" fontId="0" fillId="10" borderId="0" xfId="0" applyNumberFormat="1" applyFill="1"/>
    <xf numFmtId="171" fontId="0" fillId="10" borderId="8" xfId="0" applyNumberFormat="1" applyFill="1" applyBorder="1"/>
    <xf numFmtId="172" fontId="0" fillId="10" borderId="8" xfId="0" applyNumberFormat="1" applyFill="1" applyBorder="1"/>
    <xf numFmtId="177" fontId="0" fillId="0" borderId="0" xfId="0" applyNumberFormat="1"/>
    <xf numFmtId="9" fontId="3" fillId="0" borderId="13" xfId="0" applyNumberFormat="1" applyFont="1" applyBorder="1"/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0" borderId="30" xfId="0" applyFont="1" applyBorder="1"/>
    <xf numFmtId="0" fontId="0" fillId="16" borderId="0" xfId="0" applyFill="1"/>
    <xf numFmtId="0" fontId="0" fillId="3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6" borderId="0" xfId="0" applyFill="1" applyAlignment="1">
      <alignment horizontal="center"/>
    </xf>
    <xf numFmtId="187" fontId="3" fillId="10" borderId="2" xfId="0" applyNumberFormat="1" applyFont="1" applyFill="1" applyBorder="1" applyAlignment="1">
      <alignment horizontal="center"/>
    </xf>
    <xf numFmtId="177" fontId="0" fillId="0" borderId="14" xfId="0" applyNumberFormat="1" applyBorder="1"/>
  </cellXfs>
  <cellStyles count="1">
    <cellStyle name="Standard" xfId="0" builtinId="0"/>
  </cellStyles>
  <dxfs count="54">
    <dxf>
      <font>
        <color rgb="FFFF0000"/>
      </font>
    </dxf>
    <dxf>
      <font>
        <color rgb="FFFFC000"/>
      </font>
    </dxf>
    <dxf>
      <fill>
        <patternFill>
          <bgColor rgb="FFFF3F9F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ont>
        <color rgb="FFFF0000"/>
      </font>
    </dxf>
    <dxf>
      <fill>
        <patternFill>
          <bgColor rgb="FF69D8F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9393"/>
        </patternFill>
      </fill>
    </dxf>
    <dxf>
      <font>
        <b/>
        <i val="0"/>
        <color rgb="FF008000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C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FFC000"/>
      </font>
    </dxf>
    <dxf>
      <font>
        <color rgb="FFFF0000"/>
      </font>
    </dxf>
    <dxf>
      <fill>
        <patternFill>
          <bgColor rgb="FF69D8FF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ont>
        <color rgb="FFFF0000"/>
      </font>
    </dxf>
    <dxf>
      <fill>
        <patternFill>
          <bgColor rgb="FF69D8FF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A162D0"/>
        </patternFill>
      </fill>
    </dxf>
    <dxf>
      <fill>
        <patternFill>
          <bgColor rgb="FFFFFF00"/>
        </patternFill>
      </fill>
    </dxf>
    <dxf>
      <fill>
        <patternFill>
          <bgColor rgb="FFEFC16D"/>
        </patternFill>
      </fill>
    </dxf>
    <dxf>
      <font>
        <color rgb="FFFF0000"/>
      </font>
    </dxf>
    <dxf>
      <fill>
        <patternFill>
          <bgColor rgb="FFFF9393"/>
        </patternFill>
      </fill>
    </dxf>
    <dxf>
      <font>
        <b/>
        <i val="0"/>
        <color rgb="FF008000"/>
      </font>
    </dxf>
    <dxf>
      <fill>
        <patternFill>
          <bgColor rgb="FFFF3F9F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E1F0FF"/>
      <color rgb="FFE1FFF5"/>
      <color rgb="FFFFFFAF"/>
      <color rgb="FFFFFF66"/>
      <color rgb="FF69D8FF"/>
      <color rgb="FFC2E49C"/>
      <color rgb="FFB2DE82"/>
      <color rgb="FFA162D0"/>
      <color rgb="FFFF3F9F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L95"/>
  <sheetViews>
    <sheetView showGridLines="0" tabSelected="1" zoomScale="91" zoomScaleNormal="91" zoomScaleSheetLayoutView="118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36.140625" customWidth="1"/>
    <col min="2" max="34" width="17.7109375" customWidth="1"/>
  </cols>
  <sheetData>
    <row r="1" spans="1:25" s="2" customFormat="1" ht="23.25" x14ac:dyDescent="0.35">
      <c r="A1" s="7" t="s">
        <v>213</v>
      </c>
      <c r="B1" s="2" t="s">
        <v>214</v>
      </c>
    </row>
    <row r="2" spans="1:25" s="2" customFormat="1" ht="23.25" x14ac:dyDescent="0.35">
      <c r="A2" s="7"/>
      <c r="B2" s="8" t="s">
        <v>256</v>
      </c>
    </row>
    <row r="3" spans="1:25" s="2" customFormat="1" ht="23.25" x14ac:dyDescent="0.35">
      <c r="A3" s="7"/>
      <c r="B3" s="51" t="s">
        <v>251</v>
      </c>
      <c r="C3"/>
      <c r="D3"/>
      <c r="E3"/>
      <c r="F3"/>
    </row>
    <row r="4" spans="1:25" ht="24.95" customHeight="1" x14ac:dyDescent="0.2">
      <c r="B4" s="94" t="s">
        <v>254</v>
      </c>
      <c r="C4" s="95"/>
      <c r="D4" s="95"/>
      <c r="E4" s="95"/>
      <c r="F4" s="95"/>
    </row>
    <row r="5" spans="1:25" x14ac:dyDescent="0.2">
      <c r="A5" s="178"/>
      <c r="B5" s="179"/>
      <c r="C5" s="12"/>
      <c r="D5" s="11"/>
      <c r="E5" s="11"/>
      <c r="F5" s="11"/>
      <c r="G5" s="11"/>
      <c r="H5" s="178" t="s">
        <v>29</v>
      </c>
      <c r="I5" s="11"/>
      <c r="J5" s="12"/>
    </row>
    <row r="6" spans="1:25" x14ac:dyDescent="0.2">
      <c r="A6" s="72" t="s">
        <v>39</v>
      </c>
      <c r="B6" s="121">
        <v>1.4</v>
      </c>
      <c r="C6" s="69" t="s">
        <v>86</v>
      </c>
      <c r="D6" s="9"/>
      <c r="E6" s="9"/>
      <c r="F6" s="9"/>
      <c r="G6" s="9"/>
      <c r="H6" s="20" t="s">
        <v>40</v>
      </c>
      <c r="I6" s="93">
        <v>0.31</v>
      </c>
      <c r="J6" s="19" t="s">
        <v>33</v>
      </c>
    </row>
    <row r="7" spans="1:25" x14ac:dyDescent="0.2">
      <c r="A7" s="72" t="s">
        <v>19</v>
      </c>
      <c r="B7" s="121">
        <v>12</v>
      </c>
      <c r="C7" s="69" t="s">
        <v>21</v>
      </c>
      <c r="D7" s="9"/>
      <c r="E7" s="9"/>
      <c r="F7" s="9"/>
      <c r="G7" s="9"/>
      <c r="H7" s="20" t="s">
        <v>30</v>
      </c>
      <c r="I7" s="93">
        <v>0.24</v>
      </c>
      <c r="J7" s="19" t="s">
        <v>33</v>
      </c>
      <c r="K7" s="6"/>
      <c r="L7" s="5"/>
      <c r="M7" s="4"/>
      <c r="N7" s="5"/>
      <c r="O7" s="4"/>
      <c r="P7" s="5"/>
      <c r="Q7" s="4"/>
      <c r="R7" s="4"/>
    </row>
    <row r="8" spans="1:25" x14ac:dyDescent="0.2">
      <c r="A8" s="72" t="s">
        <v>20</v>
      </c>
      <c r="B8" s="121">
        <v>40</v>
      </c>
      <c r="C8" s="69" t="s">
        <v>21</v>
      </c>
      <c r="D8" s="9"/>
      <c r="E8" s="9"/>
      <c r="F8" s="9"/>
      <c r="G8" s="9"/>
      <c r="H8" s="20" t="s">
        <v>22</v>
      </c>
      <c r="I8" s="93">
        <v>0.56000000000000005</v>
      </c>
      <c r="J8" s="19" t="s">
        <v>33</v>
      </c>
      <c r="K8" s="6"/>
      <c r="L8" s="5"/>
      <c r="M8" s="4"/>
      <c r="N8" s="5"/>
      <c r="O8" s="4"/>
      <c r="P8" s="5"/>
      <c r="Q8" s="4"/>
      <c r="R8" s="4"/>
    </row>
    <row r="9" spans="1:25" x14ac:dyDescent="0.2">
      <c r="A9" s="72" t="s">
        <v>163</v>
      </c>
      <c r="B9" s="121">
        <v>28</v>
      </c>
      <c r="C9" s="69" t="s">
        <v>21</v>
      </c>
      <c r="D9" s="9"/>
      <c r="E9" s="9"/>
      <c r="F9" s="9"/>
      <c r="G9" s="9"/>
      <c r="H9" s="13"/>
      <c r="I9" s="180"/>
      <c r="J9" s="14"/>
      <c r="K9" s="6"/>
      <c r="L9" s="5"/>
      <c r="M9" s="4"/>
      <c r="N9" s="5"/>
      <c r="O9" s="4"/>
      <c r="P9" s="5"/>
      <c r="Q9" s="4"/>
      <c r="R9" s="4"/>
    </row>
    <row r="10" spans="1:25" x14ac:dyDescent="0.2">
      <c r="A10" s="72" t="s">
        <v>103</v>
      </c>
      <c r="B10" s="121">
        <v>1000</v>
      </c>
      <c r="C10" s="68" t="s">
        <v>104</v>
      </c>
      <c r="D10" s="9"/>
      <c r="E10" s="9"/>
      <c r="F10" s="9"/>
      <c r="G10" s="9"/>
      <c r="H10" s="13"/>
      <c r="I10" s="180"/>
      <c r="J10" s="14"/>
      <c r="K10" s="6"/>
      <c r="L10" s="5"/>
      <c r="M10" s="4"/>
      <c r="N10" s="5"/>
      <c r="O10" s="4"/>
      <c r="P10" s="5"/>
      <c r="Q10" s="4"/>
      <c r="R10" s="4"/>
    </row>
    <row r="11" spans="1:25" x14ac:dyDescent="0.2">
      <c r="A11" s="137"/>
      <c r="B11" s="138"/>
      <c r="C11" s="139"/>
      <c r="D11" s="9"/>
      <c r="E11" s="9"/>
      <c r="F11" s="9"/>
      <c r="G11" s="9"/>
      <c r="H11" s="13"/>
      <c r="I11" s="180"/>
      <c r="J11" s="14"/>
      <c r="K11" s="6"/>
      <c r="L11" s="5"/>
      <c r="M11" s="4"/>
      <c r="N11" s="5"/>
      <c r="O11" s="4"/>
      <c r="P11" s="5"/>
      <c r="Q11" s="4"/>
      <c r="R11" s="4"/>
    </row>
    <row r="12" spans="1:25" x14ac:dyDescent="0.2">
      <c r="A12" s="108"/>
      <c r="B12" s="181"/>
      <c r="C12" s="16"/>
      <c r="D12" s="15"/>
      <c r="E12" s="15"/>
      <c r="F12" s="15"/>
      <c r="G12" s="15"/>
      <c r="H12" s="106"/>
      <c r="I12" s="182"/>
      <c r="J12" s="16"/>
      <c r="K12" s="6"/>
      <c r="L12" s="5"/>
      <c r="M12" s="4"/>
      <c r="N12" s="5"/>
      <c r="O12" s="4"/>
      <c r="P12" s="5"/>
      <c r="Q12" s="4"/>
      <c r="R12" s="5"/>
      <c r="S12" s="4"/>
      <c r="T12" s="4"/>
    </row>
    <row r="13" spans="1:25" x14ac:dyDescent="0.2">
      <c r="A13" s="1"/>
      <c r="K13" s="3"/>
      <c r="L13" s="6"/>
      <c r="M13" s="6"/>
      <c r="N13" s="5"/>
      <c r="O13" s="4"/>
      <c r="P13" s="5"/>
      <c r="Q13" s="4"/>
      <c r="R13" s="4"/>
    </row>
    <row r="14" spans="1:25" s="1" customFormat="1" x14ac:dyDescent="0.2">
      <c r="A14"/>
      <c r="B14" s="3"/>
      <c r="C14" s="3"/>
      <c r="D14" s="6"/>
      <c r="E14" s="6"/>
      <c r="F14" s="3"/>
      <c r="G14" s="3"/>
      <c r="H14" s="3"/>
      <c r="I14" s="3"/>
      <c r="J14" s="6"/>
      <c r="K14" s="6"/>
      <c r="L14" s="5"/>
      <c r="M14" s="4"/>
    </row>
    <row r="15" spans="1:25" s="1" customFormat="1" x14ac:dyDescent="0.2">
      <c r="A15" s="23" t="s">
        <v>0</v>
      </c>
      <c r="B15" s="24" t="s">
        <v>35</v>
      </c>
      <c r="C15" s="24" t="s">
        <v>231</v>
      </c>
      <c r="D15" s="24" t="s">
        <v>235</v>
      </c>
      <c r="E15" s="24" t="s">
        <v>237</v>
      </c>
      <c r="F15" s="24" t="s">
        <v>238</v>
      </c>
      <c r="G15" s="24" t="s">
        <v>241</v>
      </c>
      <c r="H15" s="24" t="s">
        <v>242</v>
      </c>
      <c r="I15" s="24" t="s">
        <v>243</v>
      </c>
      <c r="J15" s="25" t="s">
        <v>35</v>
      </c>
      <c r="K15" s="24" t="s">
        <v>231</v>
      </c>
      <c r="L15" s="24" t="s">
        <v>235</v>
      </c>
      <c r="M15" s="24" t="s">
        <v>237</v>
      </c>
      <c r="N15" s="24" t="s">
        <v>238</v>
      </c>
      <c r="O15" s="24" t="s">
        <v>241</v>
      </c>
      <c r="P15" s="24" t="s">
        <v>242</v>
      </c>
      <c r="Q15" s="24" t="s">
        <v>243</v>
      </c>
      <c r="R15" s="25" t="s">
        <v>35</v>
      </c>
      <c r="S15" s="24" t="s">
        <v>231</v>
      </c>
      <c r="T15" s="24" t="s">
        <v>235</v>
      </c>
      <c r="U15" s="24" t="s">
        <v>237</v>
      </c>
      <c r="V15" s="24" t="s">
        <v>238</v>
      </c>
      <c r="W15" s="24" t="s">
        <v>244</v>
      </c>
      <c r="X15" s="24" t="s">
        <v>246</v>
      </c>
      <c r="Y15" s="24" t="s">
        <v>247</v>
      </c>
    </row>
    <row r="16" spans="1:25" s="1" customFormat="1" x14ac:dyDescent="0.2">
      <c r="A16" s="21"/>
      <c r="B16" s="21" t="s">
        <v>248</v>
      </c>
      <c r="C16" s="21" t="s">
        <v>156</v>
      </c>
      <c r="D16" s="21" t="s">
        <v>157</v>
      </c>
      <c r="E16" s="21" t="s">
        <v>157</v>
      </c>
      <c r="F16" s="21" t="s">
        <v>157</v>
      </c>
      <c r="G16" s="21" t="s">
        <v>159</v>
      </c>
      <c r="H16" s="21" t="s">
        <v>159</v>
      </c>
      <c r="I16" s="21" t="s">
        <v>159</v>
      </c>
      <c r="J16" s="21" t="s">
        <v>249</v>
      </c>
      <c r="K16" s="21" t="s">
        <v>156</v>
      </c>
      <c r="L16" s="21" t="s">
        <v>157</v>
      </c>
      <c r="M16" s="21" t="s">
        <v>157</v>
      </c>
      <c r="N16" s="21" t="s">
        <v>157</v>
      </c>
      <c r="O16" s="21" t="s">
        <v>159</v>
      </c>
      <c r="P16" s="21" t="s">
        <v>159</v>
      </c>
      <c r="Q16" s="21" t="s">
        <v>159</v>
      </c>
      <c r="R16" s="21" t="s">
        <v>250</v>
      </c>
      <c r="S16" s="21" t="s">
        <v>156</v>
      </c>
      <c r="T16" s="21" t="s">
        <v>157</v>
      </c>
      <c r="U16" s="21" t="s">
        <v>157</v>
      </c>
      <c r="V16" s="21" t="s">
        <v>157</v>
      </c>
      <c r="W16" s="21" t="s">
        <v>160</v>
      </c>
      <c r="X16" s="21" t="s">
        <v>160</v>
      </c>
      <c r="Y16" s="21" t="s">
        <v>160</v>
      </c>
    </row>
    <row r="17" spans="1:64" s="1" customFormat="1" x14ac:dyDescent="0.2">
      <c r="A17" s="21"/>
      <c r="B17" s="21"/>
      <c r="C17" s="21" t="s">
        <v>91</v>
      </c>
      <c r="D17" s="21" t="s">
        <v>129</v>
      </c>
      <c r="E17" s="21" t="s">
        <v>129</v>
      </c>
      <c r="F17" s="21" t="s">
        <v>129</v>
      </c>
      <c r="G17" s="21" t="s">
        <v>129</v>
      </c>
      <c r="H17" s="21" t="s">
        <v>129</v>
      </c>
      <c r="I17" s="21" t="s">
        <v>129</v>
      </c>
      <c r="J17" s="21"/>
      <c r="K17" s="21" t="s">
        <v>91</v>
      </c>
      <c r="L17" s="21" t="s">
        <v>129</v>
      </c>
      <c r="M17" s="21" t="s">
        <v>129</v>
      </c>
      <c r="N17" s="21" t="s">
        <v>129</v>
      </c>
      <c r="O17" s="21" t="s">
        <v>129</v>
      </c>
      <c r="P17" s="21" t="s">
        <v>129</v>
      </c>
      <c r="Q17" s="21" t="s">
        <v>129</v>
      </c>
      <c r="R17" s="21"/>
      <c r="S17" s="21" t="s">
        <v>91</v>
      </c>
      <c r="T17" s="21" t="s">
        <v>129</v>
      </c>
      <c r="U17" s="21" t="s">
        <v>129</v>
      </c>
      <c r="V17" s="21" t="s">
        <v>129</v>
      </c>
      <c r="W17" s="21" t="s">
        <v>245</v>
      </c>
      <c r="X17" s="21" t="s">
        <v>245</v>
      </c>
      <c r="Y17" s="21" t="s">
        <v>245</v>
      </c>
    </row>
    <row r="18" spans="1:64" s="1" customFormat="1" x14ac:dyDescent="0.2">
      <c r="A18" s="21"/>
      <c r="B18" s="21"/>
      <c r="C18" s="21"/>
      <c r="D18" s="21" t="s">
        <v>158</v>
      </c>
      <c r="E18" s="21" t="s">
        <v>158</v>
      </c>
      <c r="F18" s="21" t="s">
        <v>158</v>
      </c>
      <c r="G18" s="21" t="s">
        <v>158</v>
      </c>
      <c r="H18" s="21" t="s">
        <v>158</v>
      </c>
      <c r="I18" s="21" t="s">
        <v>158</v>
      </c>
      <c r="J18" s="21"/>
      <c r="K18" s="21"/>
      <c r="L18" s="21" t="s">
        <v>158</v>
      </c>
      <c r="M18" s="21" t="s">
        <v>158</v>
      </c>
      <c r="N18" s="21" t="s">
        <v>158</v>
      </c>
      <c r="O18" s="21" t="s">
        <v>158</v>
      </c>
      <c r="P18" s="21" t="s">
        <v>158</v>
      </c>
      <c r="Q18" s="21" t="s">
        <v>158</v>
      </c>
      <c r="R18" s="21"/>
      <c r="S18" s="21"/>
      <c r="T18" s="21" t="s">
        <v>158</v>
      </c>
      <c r="U18" s="21" t="s">
        <v>158</v>
      </c>
      <c r="V18" s="21" t="s">
        <v>158</v>
      </c>
      <c r="W18" s="21" t="s">
        <v>129</v>
      </c>
      <c r="X18" s="21" t="s">
        <v>129</v>
      </c>
      <c r="Y18" s="21" t="s">
        <v>129</v>
      </c>
    </row>
    <row r="19" spans="1:64" s="1" customFormat="1" x14ac:dyDescent="0.2">
      <c r="A19" s="21"/>
      <c r="B19" s="21"/>
      <c r="C19" s="21"/>
      <c r="D19" s="21" t="s">
        <v>206</v>
      </c>
      <c r="E19" s="21" t="s">
        <v>206</v>
      </c>
      <c r="F19" s="21" t="s">
        <v>206</v>
      </c>
      <c r="G19" s="21" t="s">
        <v>206</v>
      </c>
      <c r="H19" s="21" t="s">
        <v>206</v>
      </c>
      <c r="I19" s="21" t="s">
        <v>206</v>
      </c>
      <c r="J19" s="21"/>
      <c r="K19" s="21"/>
      <c r="L19" s="21" t="s">
        <v>206</v>
      </c>
      <c r="M19" s="21" t="s">
        <v>206</v>
      </c>
      <c r="N19" s="21" t="s">
        <v>206</v>
      </c>
      <c r="O19" s="21" t="s">
        <v>206</v>
      </c>
      <c r="P19" s="21" t="s">
        <v>206</v>
      </c>
      <c r="Q19" s="21" t="s">
        <v>206</v>
      </c>
      <c r="R19" s="21"/>
      <c r="S19" s="21"/>
      <c r="T19" s="21" t="s">
        <v>206</v>
      </c>
      <c r="U19" s="21" t="s">
        <v>206</v>
      </c>
      <c r="V19" s="21" t="s">
        <v>206</v>
      </c>
      <c r="W19" s="21" t="s">
        <v>158</v>
      </c>
      <c r="X19" s="21" t="s">
        <v>158</v>
      </c>
      <c r="Y19" s="21" t="s">
        <v>158</v>
      </c>
    </row>
    <row r="20" spans="1:64" s="1" customFormat="1" x14ac:dyDescent="0.2">
      <c r="A20" s="27"/>
      <c r="B20" s="27"/>
      <c r="C20" s="27"/>
      <c r="D20" s="27" t="s">
        <v>236</v>
      </c>
      <c r="E20" s="27" t="s">
        <v>236</v>
      </c>
      <c r="F20" s="27" t="s">
        <v>239</v>
      </c>
      <c r="G20" s="27" t="s">
        <v>236</v>
      </c>
      <c r="H20" s="27" t="s">
        <v>236</v>
      </c>
      <c r="I20" s="27" t="s">
        <v>239</v>
      </c>
      <c r="J20" s="27"/>
      <c r="K20" s="27"/>
      <c r="L20" s="27" t="s">
        <v>236</v>
      </c>
      <c r="M20" s="27" t="s">
        <v>236</v>
      </c>
      <c r="N20" s="27" t="s">
        <v>239</v>
      </c>
      <c r="O20" s="27" t="s">
        <v>236</v>
      </c>
      <c r="P20" s="27" t="s">
        <v>236</v>
      </c>
      <c r="Q20" s="27" t="s">
        <v>239</v>
      </c>
      <c r="R20" s="27"/>
      <c r="S20" s="27"/>
      <c r="T20" s="27" t="s">
        <v>236</v>
      </c>
      <c r="U20" s="27" t="s">
        <v>236</v>
      </c>
      <c r="V20" s="27" t="s">
        <v>239</v>
      </c>
      <c r="W20" s="27" t="s">
        <v>236</v>
      </c>
      <c r="X20" s="27" t="s">
        <v>236</v>
      </c>
      <c r="Y20" s="27" t="s">
        <v>239</v>
      </c>
    </row>
    <row r="21" spans="1:64" s="1" customForma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s="1" customFormat="1" x14ac:dyDescent="0.2">
      <c r="A22" s="72" t="s">
        <v>53</v>
      </c>
      <c r="B22" s="116">
        <v>2500</v>
      </c>
      <c r="C22" s="116"/>
      <c r="D22" s="116"/>
      <c r="E22" s="116"/>
      <c r="F22" s="116"/>
      <c r="G22" s="116"/>
      <c r="H22" s="116"/>
      <c r="I22" s="116"/>
      <c r="J22" s="117"/>
      <c r="K22" s="116"/>
      <c r="L22" s="116"/>
      <c r="M22" s="116"/>
      <c r="N22" s="116"/>
      <c r="O22" s="116"/>
      <c r="P22" s="116"/>
      <c r="Q22" s="116"/>
      <c r="R22" s="117"/>
      <c r="S22" s="116"/>
      <c r="T22" s="116"/>
      <c r="U22" s="116"/>
      <c r="V22" s="116"/>
      <c r="W22" s="116"/>
      <c r="X22" s="116"/>
      <c r="Y22" s="116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s="1" customFormat="1" x14ac:dyDescent="0.2">
      <c r="A23" s="72" t="s">
        <v>71</v>
      </c>
      <c r="B23" s="118"/>
      <c r="C23" s="118"/>
      <c r="D23" s="118"/>
      <c r="E23" s="118"/>
      <c r="F23" s="118"/>
      <c r="G23" s="118"/>
      <c r="H23" s="118"/>
      <c r="I23" s="118"/>
      <c r="J23" s="119">
        <v>15000</v>
      </c>
      <c r="K23" s="118"/>
      <c r="L23" s="118"/>
      <c r="M23" s="118"/>
      <c r="N23" s="118"/>
      <c r="O23" s="118"/>
      <c r="P23" s="118"/>
      <c r="Q23" s="118"/>
      <c r="R23" s="119">
        <v>5500</v>
      </c>
      <c r="S23" s="118"/>
      <c r="T23" s="118"/>
      <c r="U23" s="118"/>
      <c r="V23" s="118"/>
      <c r="W23" s="118"/>
      <c r="X23" s="118"/>
      <c r="Y23" s="118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s="1" customFormat="1" x14ac:dyDescent="0.2">
      <c r="A24" s="72" t="s">
        <v>258</v>
      </c>
      <c r="B24" s="194">
        <v>120</v>
      </c>
      <c r="C24" s="194">
        <v>120</v>
      </c>
      <c r="D24" s="194">
        <v>120</v>
      </c>
      <c r="E24" s="194">
        <v>120</v>
      </c>
      <c r="F24" s="194">
        <v>120</v>
      </c>
      <c r="G24" s="194">
        <v>120</v>
      </c>
      <c r="H24" s="194">
        <v>120</v>
      </c>
      <c r="I24" s="194">
        <v>120</v>
      </c>
      <c r="J24" s="194">
        <v>140</v>
      </c>
      <c r="K24" s="194">
        <v>140</v>
      </c>
      <c r="L24" s="194">
        <v>140</v>
      </c>
      <c r="M24" s="194">
        <v>140</v>
      </c>
      <c r="N24" s="194">
        <v>140</v>
      </c>
      <c r="O24" s="194">
        <v>140</v>
      </c>
      <c r="P24" s="194">
        <v>140</v>
      </c>
      <c r="Q24" s="194">
        <v>140</v>
      </c>
      <c r="R24" s="194">
        <v>120</v>
      </c>
      <c r="S24" s="194">
        <v>120</v>
      </c>
      <c r="T24" s="194">
        <v>120</v>
      </c>
      <c r="U24" s="194">
        <v>120</v>
      </c>
      <c r="V24" s="194">
        <v>120</v>
      </c>
      <c r="W24" s="194">
        <v>120</v>
      </c>
      <c r="X24" s="194">
        <v>120</v>
      </c>
      <c r="Y24" s="194">
        <v>120</v>
      </c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s="1" customFormat="1" x14ac:dyDescent="0.2">
      <c r="A25" s="36"/>
      <c r="B25" s="152"/>
      <c r="C25" s="152"/>
      <c r="D25" s="152"/>
      <c r="E25" s="152"/>
      <c r="F25" s="152"/>
      <c r="G25" s="152"/>
      <c r="H25" s="152"/>
      <c r="I25" s="152"/>
      <c r="J25" s="153"/>
      <c r="K25" s="152"/>
      <c r="L25" s="152"/>
      <c r="M25" s="152"/>
      <c r="N25" s="152"/>
      <c r="O25" s="152"/>
      <c r="P25" s="152"/>
      <c r="Q25" s="152"/>
      <c r="R25" s="153"/>
      <c r="S25" s="152"/>
      <c r="T25" s="152"/>
      <c r="U25" s="152"/>
      <c r="V25" s="152"/>
      <c r="W25" s="152"/>
      <c r="X25" s="152"/>
      <c r="Y25" s="15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s="1" customFormat="1" x14ac:dyDescent="0.2">
      <c r="A26" s="72" t="s">
        <v>204</v>
      </c>
      <c r="B26" s="118"/>
      <c r="C26" s="147">
        <v>1</v>
      </c>
      <c r="D26" s="147">
        <v>10.600000000000001</v>
      </c>
      <c r="E26" s="147">
        <v>10.600000000000001</v>
      </c>
      <c r="F26" s="147">
        <v>10.600000000000001</v>
      </c>
      <c r="G26" s="147">
        <v>10.600000000000001</v>
      </c>
      <c r="H26" s="147">
        <v>10.600000000000001</v>
      </c>
      <c r="I26" s="147">
        <v>10.600000000000001</v>
      </c>
      <c r="J26" s="148"/>
      <c r="K26" s="147">
        <v>2</v>
      </c>
      <c r="L26" s="147">
        <v>7.3</v>
      </c>
      <c r="M26" s="147">
        <v>7.3</v>
      </c>
      <c r="N26" s="147">
        <v>7.3</v>
      </c>
      <c r="O26" s="147">
        <v>7.3</v>
      </c>
      <c r="P26" s="147">
        <v>7.3</v>
      </c>
      <c r="Q26" s="147">
        <v>7.3</v>
      </c>
      <c r="R26" s="148"/>
      <c r="S26" s="147">
        <v>2</v>
      </c>
      <c r="T26" s="147">
        <v>2.8</v>
      </c>
      <c r="U26" s="147">
        <v>2.8</v>
      </c>
      <c r="V26" s="147">
        <v>2.8</v>
      </c>
      <c r="W26" s="147">
        <v>2.8</v>
      </c>
      <c r="X26" s="147">
        <v>2.8</v>
      </c>
      <c r="Y26" s="147">
        <v>2.8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s="1" customFormat="1" x14ac:dyDescent="0.2">
      <c r="A27" s="149" t="s">
        <v>212</v>
      </c>
      <c r="B27" s="150"/>
      <c r="C27" s="150"/>
      <c r="D27" s="150">
        <v>214</v>
      </c>
      <c r="E27" s="150">
        <v>214</v>
      </c>
      <c r="F27" s="150">
        <v>214</v>
      </c>
      <c r="G27" s="150"/>
      <c r="H27" s="150"/>
      <c r="I27" s="150"/>
      <c r="J27" s="151"/>
      <c r="K27" s="150"/>
      <c r="L27" s="150">
        <v>148</v>
      </c>
      <c r="M27" s="150">
        <v>148</v>
      </c>
      <c r="N27" s="150">
        <v>148</v>
      </c>
      <c r="O27" s="150"/>
      <c r="P27" s="150"/>
      <c r="Q27" s="150"/>
      <c r="R27" s="151"/>
      <c r="S27" s="150"/>
      <c r="T27" s="150">
        <v>57</v>
      </c>
      <c r="U27" s="150">
        <v>57</v>
      </c>
      <c r="V27" s="150">
        <v>57</v>
      </c>
      <c r="W27" s="150"/>
      <c r="X27" s="150"/>
      <c r="Y27" s="150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s="1" customFormat="1" x14ac:dyDescent="0.2">
      <c r="A28" s="72" t="s">
        <v>205</v>
      </c>
      <c r="B28" s="118"/>
      <c r="C28" s="140">
        <v>3</v>
      </c>
      <c r="D28" s="140">
        <v>4.5</v>
      </c>
      <c r="E28" s="140">
        <v>4.5</v>
      </c>
      <c r="F28" s="140">
        <v>4.5</v>
      </c>
      <c r="G28" s="140">
        <v>4</v>
      </c>
      <c r="H28" s="140">
        <v>4</v>
      </c>
      <c r="I28" s="140">
        <v>4</v>
      </c>
      <c r="J28" s="141"/>
      <c r="K28" s="140">
        <v>3</v>
      </c>
      <c r="L28" s="140">
        <v>4.5</v>
      </c>
      <c r="M28" s="140">
        <v>4.5</v>
      </c>
      <c r="N28" s="140">
        <v>4.5</v>
      </c>
      <c r="O28" s="140">
        <v>4</v>
      </c>
      <c r="P28" s="140">
        <v>4</v>
      </c>
      <c r="Q28" s="140">
        <v>4</v>
      </c>
      <c r="R28" s="141"/>
      <c r="S28" s="140">
        <v>3</v>
      </c>
      <c r="T28" s="140">
        <v>4.5</v>
      </c>
      <c r="U28" s="140">
        <v>4.5</v>
      </c>
      <c r="V28" s="140">
        <v>4.5</v>
      </c>
      <c r="W28" s="140">
        <v>4</v>
      </c>
      <c r="X28" s="140">
        <v>4</v>
      </c>
      <c r="Y28" s="140">
        <v>4</v>
      </c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s="1" customFormat="1" x14ac:dyDescent="0.2">
      <c r="A29" s="72" t="s">
        <v>90</v>
      </c>
      <c r="B29" s="118"/>
      <c r="C29" s="120"/>
      <c r="D29" s="120">
        <v>35</v>
      </c>
      <c r="E29" s="120">
        <v>35</v>
      </c>
      <c r="F29" s="120">
        <v>35</v>
      </c>
      <c r="G29" s="120">
        <v>35</v>
      </c>
      <c r="H29" s="120">
        <v>35</v>
      </c>
      <c r="I29" s="120">
        <v>35</v>
      </c>
      <c r="J29" s="117"/>
      <c r="K29" s="120"/>
      <c r="L29" s="120">
        <v>35</v>
      </c>
      <c r="M29" s="120">
        <v>35</v>
      </c>
      <c r="N29" s="120">
        <v>35</v>
      </c>
      <c r="O29" s="120">
        <v>35</v>
      </c>
      <c r="P29" s="120">
        <v>35</v>
      </c>
      <c r="Q29" s="120">
        <v>35</v>
      </c>
      <c r="R29" s="117"/>
      <c r="S29" s="120"/>
      <c r="T29" s="120">
        <v>35</v>
      </c>
      <c r="U29" s="120">
        <v>35</v>
      </c>
      <c r="V29" s="120">
        <v>35</v>
      </c>
      <c r="W29" s="120">
        <v>35</v>
      </c>
      <c r="X29" s="120">
        <v>35</v>
      </c>
      <c r="Y29" s="120">
        <v>35</v>
      </c>
    </row>
    <row r="30" spans="1:64" s="1" customFormat="1" x14ac:dyDescent="0.2">
      <c r="A30" s="167"/>
      <c r="B30" s="168"/>
      <c r="C30" s="169"/>
      <c r="D30" s="169"/>
      <c r="E30" s="169"/>
      <c r="F30" s="169"/>
      <c r="G30" s="169"/>
      <c r="H30" s="169"/>
      <c r="I30" s="169"/>
      <c r="J30" s="170"/>
      <c r="K30" s="169"/>
      <c r="L30" s="169"/>
      <c r="M30" s="169"/>
      <c r="N30" s="169"/>
      <c r="O30" s="169"/>
      <c r="P30" s="169"/>
      <c r="Q30" s="169"/>
      <c r="R30" s="170"/>
      <c r="S30" s="169"/>
      <c r="T30" s="169"/>
      <c r="U30" s="169"/>
      <c r="V30" s="169"/>
      <c r="W30" s="169"/>
      <c r="X30" s="169"/>
      <c r="Y30" s="169"/>
    </row>
    <row r="31" spans="1:64" s="1" customFormat="1" x14ac:dyDescent="0.2">
      <c r="A31" s="171" t="s">
        <v>217</v>
      </c>
      <c r="B31" s="160"/>
      <c r="C31" s="166">
        <v>4</v>
      </c>
      <c r="D31" s="166">
        <v>4</v>
      </c>
      <c r="E31" s="166">
        <v>8</v>
      </c>
      <c r="F31" s="166">
        <v>8</v>
      </c>
      <c r="G31" s="166">
        <v>4</v>
      </c>
      <c r="H31" s="166">
        <v>8</v>
      </c>
      <c r="I31" s="166">
        <v>8</v>
      </c>
      <c r="J31" s="171"/>
      <c r="K31" s="166">
        <v>3</v>
      </c>
      <c r="L31" s="166">
        <v>3</v>
      </c>
      <c r="M31" s="166">
        <v>6</v>
      </c>
      <c r="N31" s="166">
        <v>6</v>
      </c>
      <c r="O31" s="166">
        <v>3</v>
      </c>
      <c r="P31" s="166">
        <v>6</v>
      </c>
      <c r="Q31" s="166">
        <v>6</v>
      </c>
      <c r="R31" s="171"/>
      <c r="S31" s="166">
        <v>3</v>
      </c>
      <c r="T31" s="166">
        <v>3</v>
      </c>
      <c r="U31" s="166">
        <v>6</v>
      </c>
      <c r="V31" s="166">
        <v>6</v>
      </c>
      <c r="W31" s="166">
        <v>3</v>
      </c>
      <c r="X31" s="166">
        <v>6</v>
      </c>
      <c r="Y31" s="166">
        <v>6</v>
      </c>
    </row>
    <row r="32" spans="1:64" s="1" customFormat="1" x14ac:dyDescent="0.2">
      <c r="A32" s="171" t="s">
        <v>218</v>
      </c>
      <c r="B32" s="160"/>
      <c r="C32" s="161">
        <v>8.1999999999999993</v>
      </c>
      <c r="D32" s="161">
        <v>8.1999999999999993</v>
      </c>
      <c r="E32" s="161">
        <v>8.1999999999999993</v>
      </c>
      <c r="F32" s="161">
        <v>8.1999999999999993</v>
      </c>
      <c r="G32" s="161">
        <v>8.1999999999999993</v>
      </c>
      <c r="H32" s="161">
        <v>8.1999999999999993</v>
      </c>
      <c r="I32" s="161">
        <v>8.1999999999999993</v>
      </c>
      <c r="J32" s="171"/>
      <c r="K32" s="161">
        <v>8.1999999999999993</v>
      </c>
      <c r="L32" s="161">
        <v>8.1999999999999993</v>
      </c>
      <c r="M32" s="161">
        <v>8.1999999999999993</v>
      </c>
      <c r="N32" s="161">
        <v>8.1999999999999993</v>
      </c>
      <c r="O32" s="161">
        <v>8.1999999999999993</v>
      </c>
      <c r="P32" s="161">
        <v>8.1999999999999993</v>
      </c>
      <c r="Q32" s="161">
        <v>8.1999999999999993</v>
      </c>
      <c r="R32" s="171"/>
      <c r="S32" s="161">
        <v>8.1999999999999993</v>
      </c>
      <c r="T32" s="161">
        <v>8.1999999999999993</v>
      </c>
      <c r="U32" s="161">
        <v>8.1999999999999993</v>
      </c>
      <c r="V32" s="161">
        <v>8.1999999999999993</v>
      </c>
      <c r="W32" s="161">
        <v>8.1999999999999993</v>
      </c>
      <c r="X32" s="161">
        <v>8.1999999999999993</v>
      </c>
      <c r="Y32" s="161">
        <v>8.1999999999999993</v>
      </c>
    </row>
    <row r="33" spans="1:25" s="1" customFormat="1" x14ac:dyDescent="0.2">
      <c r="A33" s="171" t="s">
        <v>257</v>
      </c>
      <c r="B33" s="160"/>
      <c r="C33" s="162">
        <v>1.1000000000000001</v>
      </c>
      <c r="D33" s="163">
        <f>C33</f>
        <v>1.1000000000000001</v>
      </c>
      <c r="E33" s="163">
        <f t="shared" ref="E33:F33" si="0">D33</f>
        <v>1.1000000000000001</v>
      </c>
      <c r="F33" s="163">
        <f t="shared" si="0"/>
        <v>1.1000000000000001</v>
      </c>
      <c r="G33" s="163">
        <f>F33</f>
        <v>1.1000000000000001</v>
      </c>
      <c r="H33" s="163">
        <f t="shared" ref="H33:I33" si="1">G33</f>
        <v>1.1000000000000001</v>
      </c>
      <c r="I33" s="163">
        <f t="shared" si="1"/>
        <v>1.1000000000000001</v>
      </c>
      <c r="J33" s="171"/>
      <c r="K33" s="162">
        <v>1.1000000000000001</v>
      </c>
      <c r="L33" s="163">
        <f>K33</f>
        <v>1.1000000000000001</v>
      </c>
      <c r="M33" s="163">
        <f t="shared" ref="M33:M35" si="2">L33</f>
        <v>1.1000000000000001</v>
      </c>
      <c r="N33" s="163">
        <f t="shared" ref="N33:N35" si="3">M33</f>
        <v>1.1000000000000001</v>
      </c>
      <c r="O33" s="163">
        <f>N33</f>
        <v>1.1000000000000001</v>
      </c>
      <c r="P33" s="163">
        <f t="shared" ref="P33:P35" si="4">O33</f>
        <v>1.1000000000000001</v>
      </c>
      <c r="Q33" s="163">
        <f t="shared" ref="Q33:Q35" si="5">P33</f>
        <v>1.1000000000000001</v>
      </c>
      <c r="R33" s="171"/>
      <c r="S33" s="162">
        <v>1.1000000000000001</v>
      </c>
      <c r="T33" s="163">
        <f>S33</f>
        <v>1.1000000000000001</v>
      </c>
      <c r="U33" s="163">
        <f t="shared" ref="U33:U35" si="6">T33</f>
        <v>1.1000000000000001</v>
      </c>
      <c r="V33" s="163">
        <f t="shared" ref="V33:V35" si="7">U33</f>
        <v>1.1000000000000001</v>
      </c>
      <c r="W33" s="163">
        <f>V33</f>
        <v>1.1000000000000001</v>
      </c>
      <c r="X33" s="163">
        <f t="shared" ref="X33:X35" si="8">W33</f>
        <v>1.1000000000000001</v>
      </c>
      <c r="Y33" s="163">
        <f t="shared" ref="Y33:Y35" si="9">X33</f>
        <v>1.1000000000000001</v>
      </c>
    </row>
    <row r="34" spans="1:25" s="1" customFormat="1" x14ac:dyDescent="0.2">
      <c r="A34" s="171" t="s">
        <v>219</v>
      </c>
      <c r="B34" s="160"/>
      <c r="C34" s="162">
        <v>1</v>
      </c>
      <c r="D34" s="163">
        <f>C34</f>
        <v>1</v>
      </c>
      <c r="E34" s="163">
        <f t="shared" ref="E34:F34" si="10">D34</f>
        <v>1</v>
      </c>
      <c r="F34" s="163">
        <f t="shared" si="10"/>
        <v>1</v>
      </c>
      <c r="G34" s="163">
        <f>F34</f>
        <v>1</v>
      </c>
      <c r="H34" s="163">
        <f t="shared" ref="H34:I34" si="11">G34</f>
        <v>1</v>
      </c>
      <c r="I34" s="163">
        <f t="shared" si="11"/>
        <v>1</v>
      </c>
      <c r="J34" s="171"/>
      <c r="K34" s="162">
        <v>1</v>
      </c>
      <c r="L34" s="163">
        <f>K34</f>
        <v>1</v>
      </c>
      <c r="M34" s="163">
        <f t="shared" si="2"/>
        <v>1</v>
      </c>
      <c r="N34" s="163">
        <f t="shared" si="3"/>
        <v>1</v>
      </c>
      <c r="O34" s="163">
        <f>N34</f>
        <v>1</v>
      </c>
      <c r="P34" s="163">
        <f t="shared" si="4"/>
        <v>1</v>
      </c>
      <c r="Q34" s="163">
        <f t="shared" si="5"/>
        <v>1</v>
      </c>
      <c r="R34" s="171"/>
      <c r="S34" s="162">
        <v>1</v>
      </c>
      <c r="T34" s="163">
        <f>S34</f>
        <v>1</v>
      </c>
      <c r="U34" s="163">
        <f t="shared" si="6"/>
        <v>1</v>
      </c>
      <c r="V34" s="163">
        <f t="shared" si="7"/>
        <v>1</v>
      </c>
      <c r="W34" s="163">
        <f>V34</f>
        <v>1</v>
      </c>
      <c r="X34" s="163">
        <f t="shared" si="8"/>
        <v>1</v>
      </c>
      <c r="Y34" s="163">
        <f t="shared" si="9"/>
        <v>1</v>
      </c>
    </row>
    <row r="35" spans="1:25" s="1" customFormat="1" x14ac:dyDescent="0.2">
      <c r="A35" s="171" t="s">
        <v>220</v>
      </c>
      <c r="B35" s="160"/>
      <c r="C35" s="162">
        <v>0.93</v>
      </c>
      <c r="D35" s="163">
        <f>C35</f>
        <v>0.93</v>
      </c>
      <c r="E35" s="163">
        <f t="shared" ref="E35:F35" si="12">D35</f>
        <v>0.93</v>
      </c>
      <c r="F35" s="163">
        <f t="shared" si="12"/>
        <v>0.93</v>
      </c>
      <c r="G35" s="163">
        <f>F35</f>
        <v>0.93</v>
      </c>
      <c r="H35" s="163">
        <f t="shared" ref="H35:I35" si="13">G35</f>
        <v>0.93</v>
      </c>
      <c r="I35" s="163">
        <f t="shared" si="13"/>
        <v>0.93</v>
      </c>
      <c r="J35" s="171"/>
      <c r="K35" s="162">
        <v>0.93</v>
      </c>
      <c r="L35" s="163">
        <f>K35</f>
        <v>0.93</v>
      </c>
      <c r="M35" s="163">
        <f t="shared" si="2"/>
        <v>0.93</v>
      </c>
      <c r="N35" s="163">
        <f t="shared" si="3"/>
        <v>0.93</v>
      </c>
      <c r="O35" s="163">
        <f>N35</f>
        <v>0.93</v>
      </c>
      <c r="P35" s="163">
        <f t="shared" si="4"/>
        <v>0.93</v>
      </c>
      <c r="Q35" s="163">
        <f t="shared" si="5"/>
        <v>0.93</v>
      </c>
      <c r="R35" s="171"/>
      <c r="S35" s="162">
        <v>0.93</v>
      </c>
      <c r="T35" s="163">
        <f>S35</f>
        <v>0.93</v>
      </c>
      <c r="U35" s="163">
        <f t="shared" si="6"/>
        <v>0.93</v>
      </c>
      <c r="V35" s="163">
        <f t="shared" si="7"/>
        <v>0.93</v>
      </c>
      <c r="W35" s="163">
        <f>V35</f>
        <v>0.93</v>
      </c>
      <c r="X35" s="163">
        <f t="shared" si="8"/>
        <v>0.93</v>
      </c>
      <c r="Y35" s="163">
        <f t="shared" si="9"/>
        <v>0.93</v>
      </c>
    </row>
    <row r="36" spans="1:25" s="1" customFormat="1" x14ac:dyDescent="0.2">
      <c r="A36" s="171" t="s">
        <v>12</v>
      </c>
      <c r="B36" s="160"/>
      <c r="C36" s="172">
        <v>0</v>
      </c>
      <c r="D36" s="172">
        <v>0</v>
      </c>
      <c r="E36" s="172">
        <v>0</v>
      </c>
      <c r="F36" s="172">
        <v>8</v>
      </c>
      <c r="G36" s="172">
        <v>0</v>
      </c>
      <c r="H36" s="172">
        <v>0</v>
      </c>
      <c r="I36" s="172">
        <v>8</v>
      </c>
      <c r="J36" s="171"/>
      <c r="K36" s="172">
        <v>0</v>
      </c>
      <c r="L36" s="172">
        <v>0</v>
      </c>
      <c r="M36" s="172">
        <v>0</v>
      </c>
      <c r="N36" s="172">
        <v>6</v>
      </c>
      <c r="O36" s="172">
        <v>0</v>
      </c>
      <c r="P36" s="172">
        <v>0</v>
      </c>
      <c r="Q36" s="172">
        <v>6</v>
      </c>
      <c r="R36" s="171"/>
      <c r="S36" s="172">
        <v>0</v>
      </c>
      <c r="T36" s="172">
        <v>0</v>
      </c>
      <c r="U36" s="172">
        <v>0</v>
      </c>
      <c r="V36" s="172">
        <v>6</v>
      </c>
      <c r="W36" s="172">
        <v>0</v>
      </c>
      <c r="X36" s="172">
        <v>0</v>
      </c>
      <c r="Y36" s="172">
        <v>6</v>
      </c>
    </row>
    <row r="37" spans="1:25" s="1" customFormat="1" x14ac:dyDescent="0.2">
      <c r="A37" s="82"/>
      <c r="B37" s="83"/>
      <c r="C37" s="173"/>
      <c r="D37" s="173"/>
      <c r="E37" s="173"/>
      <c r="F37" s="173"/>
      <c r="G37" s="173"/>
      <c r="H37" s="173"/>
      <c r="I37" s="173"/>
      <c r="J37" s="82"/>
      <c r="K37" s="173"/>
      <c r="L37" s="173"/>
      <c r="M37" s="173"/>
      <c r="N37" s="173"/>
      <c r="O37" s="173"/>
      <c r="P37" s="173"/>
      <c r="Q37" s="173"/>
      <c r="R37" s="82"/>
      <c r="S37" s="173"/>
      <c r="T37" s="173"/>
      <c r="U37" s="173"/>
      <c r="V37" s="173"/>
      <c r="W37" s="173"/>
      <c r="X37" s="173"/>
      <c r="Y37" s="173"/>
    </row>
    <row r="38" spans="1:25" s="1" customFormat="1" x14ac:dyDescent="0.2">
      <c r="A38" s="164" t="s">
        <v>7</v>
      </c>
      <c r="B38" s="165"/>
      <c r="C38" s="165">
        <v>4000</v>
      </c>
      <c r="D38" s="165">
        <v>30000</v>
      </c>
      <c r="E38" s="165">
        <v>30000</v>
      </c>
      <c r="F38" s="165">
        <v>30000</v>
      </c>
      <c r="G38" s="165">
        <v>35000</v>
      </c>
      <c r="H38" s="165">
        <v>35000</v>
      </c>
      <c r="I38" s="165">
        <v>35000</v>
      </c>
      <c r="J38" s="165"/>
      <c r="K38" s="165">
        <v>4000</v>
      </c>
      <c r="L38" s="165">
        <v>21000</v>
      </c>
      <c r="M38" s="165">
        <v>21000</v>
      </c>
      <c r="N38" s="165">
        <v>21000</v>
      </c>
      <c r="O38" s="165">
        <v>26000</v>
      </c>
      <c r="P38" s="165">
        <v>26000</v>
      </c>
      <c r="Q38" s="165">
        <v>26000</v>
      </c>
      <c r="R38" s="165"/>
      <c r="S38" s="165">
        <v>4000</v>
      </c>
      <c r="T38" s="165">
        <v>10000</v>
      </c>
      <c r="U38" s="165">
        <v>10000</v>
      </c>
      <c r="V38" s="165">
        <v>10000</v>
      </c>
      <c r="W38" s="165">
        <v>10000</v>
      </c>
      <c r="X38" s="165">
        <v>10000</v>
      </c>
      <c r="Y38" s="165">
        <v>10000</v>
      </c>
    </row>
    <row r="39" spans="1:25" s="1" customFormat="1" x14ac:dyDescent="0.2">
      <c r="A39" s="72" t="s">
        <v>210</v>
      </c>
      <c r="B39" s="87"/>
      <c r="C39" s="87"/>
      <c r="D39" s="87">
        <f>10*ROUND(D27*11.8,0)</f>
        <v>25250</v>
      </c>
      <c r="E39" s="87">
        <f t="shared" ref="E39:F39" si="14">10*ROUND(E27*11.8,0)</f>
        <v>25250</v>
      </c>
      <c r="F39" s="87">
        <f t="shared" si="14"/>
        <v>25250</v>
      </c>
      <c r="G39" s="87">
        <f>10*ROUND(G27*11.8,0)</f>
        <v>0</v>
      </c>
      <c r="H39" s="87">
        <f t="shared" ref="H39:I39" si="15">10*ROUND(H27*11.8,0)</f>
        <v>0</v>
      </c>
      <c r="I39" s="87">
        <f t="shared" si="15"/>
        <v>0</v>
      </c>
      <c r="J39" s="87"/>
      <c r="K39" s="87"/>
      <c r="L39" s="87">
        <f>10*ROUND(L27*11.8,0)</f>
        <v>17460</v>
      </c>
      <c r="M39" s="87">
        <f t="shared" ref="M39:N39" si="16">10*ROUND(M27*11.8,0)</f>
        <v>17460</v>
      </c>
      <c r="N39" s="87">
        <f t="shared" si="16"/>
        <v>17460</v>
      </c>
      <c r="O39" s="87">
        <f>10*ROUND(O27*11.8,0)</f>
        <v>0</v>
      </c>
      <c r="P39" s="87">
        <f t="shared" ref="P39:Q39" si="17">10*ROUND(P27*11.8,0)</f>
        <v>0</v>
      </c>
      <c r="Q39" s="87">
        <f t="shared" si="17"/>
        <v>0</v>
      </c>
      <c r="R39" s="87"/>
      <c r="S39" s="87"/>
      <c r="T39" s="87">
        <f>10*ROUND(T27*11.8,0)</f>
        <v>6730</v>
      </c>
      <c r="U39" s="87">
        <f t="shared" ref="U39:V39" si="18">10*ROUND(U27*11.8,0)</f>
        <v>6730</v>
      </c>
      <c r="V39" s="87">
        <f t="shared" si="18"/>
        <v>6730</v>
      </c>
      <c r="W39" s="87">
        <f>10*ROUND(W27*11.8,0)</f>
        <v>0</v>
      </c>
      <c r="X39" s="87">
        <f t="shared" ref="X39:Y39" si="19">10*ROUND(X27*11.8,0)</f>
        <v>0</v>
      </c>
      <c r="Y39" s="87">
        <f t="shared" si="19"/>
        <v>0</v>
      </c>
    </row>
    <row r="40" spans="1:25" s="1" customFormat="1" x14ac:dyDescent="0.2">
      <c r="A40" s="72" t="s">
        <v>38</v>
      </c>
      <c r="B40" s="87"/>
      <c r="C40" s="87"/>
      <c r="D40" s="87">
        <v>-9330</v>
      </c>
      <c r="E40" s="87">
        <v>-9330</v>
      </c>
      <c r="F40" s="87">
        <v>-9330</v>
      </c>
      <c r="G40" s="87">
        <v>-9330</v>
      </c>
      <c r="H40" s="87">
        <v>-9330</v>
      </c>
      <c r="I40" s="87">
        <v>-9330</v>
      </c>
      <c r="J40" s="87"/>
      <c r="K40" s="87"/>
      <c r="L40" s="87">
        <v>-8000</v>
      </c>
      <c r="M40" s="87">
        <v>-8000</v>
      </c>
      <c r="N40" s="87">
        <v>-8000</v>
      </c>
      <c r="O40" s="87">
        <v>-8000</v>
      </c>
      <c r="P40" s="87">
        <v>-8000</v>
      </c>
      <c r="Q40" s="87">
        <v>-8000</v>
      </c>
      <c r="R40" s="87"/>
      <c r="S40" s="87"/>
      <c r="T40" s="87">
        <v>-6000</v>
      </c>
      <c r="U40" s="87">
        <v>-6000</v>
      </c>
      <c r="V40" s="87">
        <v>-6000</v>
      </c>
      <c r="W40" s="87">
        <v>-6000</v>
      </c>
      <c r="X40" s="87">
        <v>-6000</v>
      </c>
      <c r="Y40" s="87">
        <v>-6000</v>
      </c>
    </row>
    <row r="41" spans="1:25" s="1" customFormat="1" x14ac:dyDescent="0.2">
      <c r="A41" s="72" t="s">
        <v>36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 s="1" customFormat="1" x14ac:dyDescent="0.2">
      <c r="A42" s="72" t="s">
        <v>37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</row>
    <row r="43" spans="1:25" s="1" customFormat="1" x14ac:dyDescent="0.2">
      <c r="A43" s="72" t="s">
        <v>6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</row>
    <row r="44" spans="1:25" s="1" customFormat="1" x14ac:dyDescent="0.2">
      <c r="A44" s="72" t="s">
        <v>11</v>
      </c>
      <c r="B44" s="87"/>
      <c r="C44" s="87">
        <v>8000</v>
      </c>
      <c r="D44" s="87">
        <v>8000</v>
      </c>
      <c r="E44" s="87">
        <v>13300</v>
      </c>
      <c r="F44" s="87">
        <v>13300</v>
      </c>
      <c r="G44" s="87">
        <v>8000</v>
      </c>
      <c r="H44" s="87">
        <v>13300</v>
      </c>
      <c r="I44" s="87">
        <v>13300</v>
      </c>
      <c r="J44" s="87"/>
      <c r="K44" s="87">
        <v>6300</v>
      </c>
      <c r="L44" s="87">
        <v>6300</v>
      </c>
      <c r="M44" s="87">
        <v>11000</v>
      </c>
      <c r="N44" s="87">
        <v>11000</v>
      </c>
      <c r="O44" s="87">
        <v>6300</v>
      </c>
      <c r="P44" s="87">
        <v>11000</v>
      </c>
      <c r="Q44" s="87">
        <v>11000</v>
      </c>
      <c r="R44" s="87"/>
      <c r="S44" s="87">
        <v>6300</v>
      </c>
      <c r="T44" s="87">
        <v>6300</v>
      </c>
      <c r="U44" s="87">
        <v>11000</v>
      </c>
      <c r="V44" s="87">
        <v>11000</v>
      </c>
      <c r="W44" s="87">
        <v>6300</v>
      </c>
      <c r="X44" s="87">
        <v>11000</v>
      </c>
      <c r="Y44" s="87">
        <v>11000</v>
      </c>
    </row>
    <row r="45" spans="1:25" s="1" customFormat="1" x14ac:dyDescent="0.2">
      <c r="A45" s="72" t="s">
        <v>8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</row>
    <row r="46" spans="1:25" s="1" customFormat="1" x14ac:dyDescent="0.2">
      <c r="A46" s="72" t="s">
        <v>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</row>
    <row r="47" spans="1:25" s="1" customFormat="1" x14ac:dyDescent="0.2">
      <c r="A47" s="72" t="s">
        <v>10</v>
      </c>
      <c r="B47" s="87"/>
      <c r="C47" s="87"/>
      <c r="D47" s="87">
        <v>6000</v>
      </c>
      <c r="E47" s="87">
        <v>6000</v>
      </c>
      <c r="F47" s="87">
        <v>6000</v>
      </c>
      <c r="G47" s="87">
        <v>6000</v>
      </c>
      <c r="H47" s="87">
        <v>6000</v>
      </c>
      <c r="I47" s="87">
        <v>6000</v>
      </c>
      <c r="J47" s="87"/>
      <c r="K47" s="87"/>
      <c r="L47" s="87">
        <v>6000</v>
      </c>
      <c r="M47" s="87">
        <v>6000</v>
      </c>
      <c r="N47" s="87">
        <v>6000</v>
      </c>
      <c r="O47" s="87">
        <v>6000</v>
      </c>
      <c r="P47" s="87">
        <v>6000</v>
      </c>
      <c r="Q47" s="87">
        <v>6000</v>
      </c>
      <c r="R47" s="87"/>
      <c r="S47" s="87"/>
      <c r="T47" s="87"/>
      <c r="U47" s="87"/>
      <c r="V47" s="87"/>
      <c r="W47" s="87"/>
      <c r="X47" s="87"/>
      <c r="Y47" s="87"/>
    </row>
    <row r="48" spans="1:25" x14ac:dyDescent="0.2">
      <c r="A48" s="88" t="s">
        <v>12</v>
      </c>
      <c r="B48" s="89"/>
      <c r="C48" s="89"/>
      <c r="D48" s="89"/>
      <c r="E48" s="89"/>
      <c r="F48" s="89">
        <v>8800</v>
      </c>
      <c r="G48" s="89"/>
      <c r="H48" s="89"/>
      <c r="I48" s="89">
        <v>8800</v>
      </c>
      <c r="J48" s="89"/>
      <c r="K48" s="89"/>
      <c r="L48" s="89"/>
      <c r="M48" s="89"/>
      <c r="N48" s="89">
        <v>7200</v>
      </c>
      <c r="O48" s="89"/>
      <c r="P48" s="89"/>
      <c r="Q48" s="89">
        <v>7200</v>
      </c>
      <c r="R48" s="89"/>
      <c r="S48" s="89"/>
      <c r="T48" s="89"/>
      <c r="U48" s="89"/>
      <c r="V48" s="89">
        <v>7200</v>
      </c>
      <c r="W48" s="89"/>
      <c r="X48" s="89"/>
      <c r="Y48" s="89">
        <v>7200</v>
      </c>
    </row>
    <row r="49" spans="1:25" x14ac:dyDescent="0.2">
      <c r="A49" s="28" t="s">
        <v>1</v>
      </c>
      <c r="B49" s="29">
        <f>SUM(B38:B48)</f>
        <v>0</v>
      </c>
      <c r="C49" s="29">
        <f>SUM(C38:C48)</f>
        <v>12000</v>
      </c>
      <c r="D49" s="29">
        <f t="shared" ref="D49:F49" si="20">SUM(D38:D48)</f>
        <v>59920</v>
      </c>
      <c r="E49" s="29">
        <f t="shared" si="20"/>
        <v>65220</v>
      </c>
      <c r="F49" s="29">
        <f t="shared" si="20"/>
        <v>74020</v>
      </c>
      <c r="G49" s="29">
        <f t="shared" ref="G49:I49" si="21">SUM(G38:G48)</f>
        <v>39670</v>
      </c>
      <c r="H49" s="29">
        <f t="shared" si="21"/>
        <v>44970</v>
      </c>
      <c r="I49" s="29">
        <f t="shared" si="21"/>
        <v>53770</v>
      </c>
      <c r="J49" s="29">
        <v>0</v>
      </c>
      <c r="K49" s="29">
        <f>SUM(K38:K48)</f>
        <v>10300</v>
      </c>
      <c r="L49" s="29">
        <f t="shared" ref="L49:Q49" si="22">SUM(L38:L48)</f>
        <v>42760</v>
      </c>
      <c r="M49" s="29">
        <f t="shared" si="22"/>
        <v>47460</v>
      </c>
      <c r="N49" s="29">
        <f t="shared" si="22"/>
        <v>54660</v>
      </c>
      <c r="O49" s="29">
        <f t="shared" si="22"/>
        <v>30300</v>
      </c>
      <c r="P49" s="29">
        <f t="shared" si="22"/>
        <v>35000</v>
      </c>
      <c r="Q49" s="29">
        <f t="shared" si="22"/>
        <v>42200</v>
      </c>
      <c r="R49" s="29">
        <f t="shared" ref="R49" si="23">SUM(R38:R48)</f>
        <v>0</v>
      </c>
      <c r="S49" s="29">
        <f>SUM(S38:S48)</f>
        <v>10300</v>
      </c>
      <c r="T49" s="29">
        <f t="shared" ref="T49:Y49" si="24">SUM(T38:T48)</f>
        <v>17030</v>
      </c>
      <c r="U49" s="29">
        <f t="shared" si="24"/>
        <v>21730</v>
      </c>
      <c r="V49" s="29">
        <f t="shared" si="24"/>
        <v>28930</v>
      </c>
      <c r="W49" s="29">
        <f t="shared" si="24"/>
        <v>10300</v>
      </c>
      <c r="X49" s="29">
        <f t="shared" si="24"/>
        <v>15000</v>
      </c>
      <c r="Y49" s="29">
        <f t="shared" si="24"/>
        <v>22200</v>
      </c>
    </row>
    <row r="50" spans="1:25" x14ac:dyDescent="0.2">
      <c r="A50" s="23" t="s">
        <v>61</v>
      </c>
      <c r="B50" s="92"/>
      <c r="C50" s="92">
        <v>0</v>
      </c>
      <c r="D50" s="92">
        <f>IF(D49-D40-D44&gt;30000,30000,D49-D40-D44)</f>
        <v>30000</v>
      </c>
      <c r="E50" s="92">
        <f t="shared" ref="E50:I50" si="25">IF(E49-E40-E44&gt;30000,30000,E49-E40-E44)</f>
        <v>30000</v>
      </c>
      <c r="F50" s="92">
        <f t="shared" si="25"/>
        <v>30000</v>
      </c>
      <c r="G50" s="92">
        <f t="shared" si="25"/>
        <v>30000</v>
      </c>
      <c r="H50" s="92">
        <f t="shared" si="25"/>
        <v>30000</v>
      </c>
      <c r="I50" s="92">
        <f t="shared" si="25"/>
        <v>30000</v>
      </c>
      <c r="J50" s="92"/>
      <c r="K50" s="92">
        <v>0</v>
      </c>
      <c r="L50" s="92">
        <f t="shared" ref="L50" si="26">IF(L49-L40-L44&gt;30000,30000,L49-L40-L44)</f>
        <v>30000</v>
      </c>
      <c r="M50" s="92">
        <f t="shared" ref="M50" si="27">IF(M49-M40-M44&gt;30000,30000,M49-M40-M44)</f>
        <v>30000</v>
      </c>
      <c r="N50" s="92">
        <f t="shared" ref="N50" si="28">IF(N49-N40-N44&gt;30000,30000,N49-N40-N44)</f>
        <v>30000</v>
      </c>
      <c r="O50" s="92">
        <f t="shared" ref="O50" si="29">IF(O49-O40-O44&gt;30000,30000,O49-O40-O44)</f>
        <v>30000</v>
      </c>
      <c r="P50" s="92">
        <f t="shared" ref="P50" si="30">IF(P49-P40-P44&gt;30000,30000,P49-P40-P44)</f>
        <v>30000</v>
      </c>
      <c r="Q50" s="92">
        <f t="shared" ref="Q50" si="31">IF(Q49-Q40-Q44&gt;30000,30000,Q49-Q40-Q44)</f>
        <v>30000</v>
      </c>
      <c r="R50" s="92"/>
      <c r="S50" s="92">
        <v>0</v>
      </c>
      <c r="T50" s="92">
        <v>0</v>
      </c>
      <c r="U50" s="92">
        <v>0</v>
      </c>
      <c r="V50" s="92">
        <v>0</v>
      </c>
      <c r="W50" s="92">
        <v>0</v>
      </c>
      <c r="X50" s="92">
        <v>0</v>
      </c>
      <c r="Y50" s="92">
        <v>0</v>
      </c>
    </row>
    <row r="51" spans="1:25" x14ac:dyDescent="0.2">
      <c r="A51" s="23" t="s">
        <v>62</v>
      </c>
      <c r="B51" s="92"/>
      <c r="C51" s="92">
        <v>0</v>
      </c>
      <c r="D51" s="92">
        <v>21000</v>
      </c>
      <c r="E51" s="92">
        <v>21000</v>
      </c>
      <c r="F51" s="92">
        <v>21000</v>
      </c>
      <c r="G51" s="92">
        <v>21000</v>
      </c>
      <c r="H51" s="92">
        <v>21000</v>
      </c>
      <c r="I51" s="92">
        <v>21000</v>
      </c>
      <c r="J51" s="92"/>
      <c r="K51" s="92">
        <v>0</v>
      </c>
      <c r="L51" s="92">
        <v>21000</v>
      </c>
      <c r="M51" s="92">
        <v>21000</v>
      </c>
      <c r="N51" s="92">
        <v>21000</v>
      </c>
      <c r="O51" s="92">
        <v>21000</v>
      </c>
      <c r="P51" s="92">
        <v>21000</v>
      </c>
      <c r="Q51" s="92">
        <v>21000</v>
      </c>
      <c r="R51" s="92"/>
      <c r="S51" s="92">
        <v>0</v>
      </c>
      <c r="T51" s="92">
        <v>0</v>
      </c>
      <c r="U51" s="92">
        <v>0</v>
      </c>
      <c r="V51" s="92">
        <v>0</v>
      </c>
      <c r="W51" s="92">
        <v>0</v>
      </c>
      <c r="X51" s="92">
        <v>0</v>
      </c>
      <c r="Y51" s="92">
        <v>0</v>
      </c>
    </row>
    <row r="52" spans="1:25" x14ac:dyDescent="0.2">
      <c r="A52" s="23" t="s">
        <v>63</v>
      </c>
      <c r="B52" s="92"/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  <c r="I52" s="92">
        <v>0</v>
      </c>
      <c r="J52" s="92"/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/>
      <c r="S52" s="92">
        <v>0</v>
      </c>
      <c r="T52" s="92">
        <v>0</v>
      </c>
      <c r="U52" s="92">
        <v>0</v>
      </c>
      <c r="V52" s="92">
        <v>0</v>
      </c>
      <c r="W52" s="92">
        <v>0</v>
      </c>
      <c r="X52" s="92">
        <v>0</v>
      </c>
      <c r="Y52" s="92">
        <v>0</v>
      </c>
    </row>
    <row r="53" spans="1:25" x14ac:dyDescent="0.2">
      <c r="A53" s="32" t="s">
        <v>5</v>
      </c>
      <c r="B53" s="30"/>
      <c r="C53" s="30">
        <f>C51</f>
        <v>0</v>
      </c>
      <c r="D53" s="30">
        <f t="shared" ref="D53" si="32">D51</f>
        <v>21000</v>
      </c>
      <c r="E53" s="30">
        <f t="shared" ref="E53:G53" si="33">E51</f>
        <v>21000</v>
      </c>
      <c r="F53" s="30">
        <f t="shared" si="33"/>
        <v>21000</v>
      </c>
      <c r="G53" s="30">
        <f t="shared" si="33"/>
        <v>21000</v>
      </c>
      <c r="H53" s="30">
        <f t="shared" ref="H53:I53" si="34">H51</f>
        <v>21000</v>
      </c>
      <c r="I53" s="30">
        <f t="shared" si="34"/>
        <v>21000</v>
      </c>
      <c r="J53" s="30"/>
      <c r="K53" s="30">
        <f>K51</f>
        <v>0</v>
      </c>
      <c r="L53" s="30">
        <f t="shared" ref="L53:Q53" si="35">L51</f>
        <v>21000</v>
      </c>
      <c r="M53" s="30">
        <f t="shared" si="35"/>
        <v>21000</v>
      </c>
      <c r="N53" s="30">
        <f t="shared" si="35"/>
        <v>21000</v>
      </c>
      <c r="O53" s="30">
        <f t="shared" si="35"/>
        <v>21000</v>
      </c>
      <c r="P53" s="30">
        <f t="shared" si="35"/>
        <v>21000</v>
      </c>
      <c r="Q53" s="30">
        <f t="shared" si="35"/>
        <v>21000</v>
      </c>
      <c r="R53" s="30"/>
      <c r="S53" s="30">
        <f>S51</f>
        <v>0</v>
      </c>
      <c r="T53" s="30">
        <f t="shared" ref="T53:Y53" si="36">T51</f>
        <v>0</v>
      </c>
      <c r="U53" s="30">
        <f t="shared" si="36"/>
        <v>0</v>
      </c>
      <c r="V53" s="30">
        <f t="shared" si="36"/>
        <v>0</v>
      </c>
      <c r="W53" s="30">
        <f t="shared" si="36"/>
        <v>0</v>
      </c>
      <c r="X53" s="30">
        <f t="shared" si="36"/>
        <v>0</v>
      </c>
      <c r="Y53" s="30">
        <f t="shared" si="36"/>
        <v>0</v>
      </c>
    </row>
    <row r="54" spans="1:25" x14ac:dyDescent="0.2">
      <c r="A54" s="21" t="s">
        <v>13</v>
      </c>
      <c r="B54" s="22">
        <f t="shared" ref="B54:C54" si="37">B49-B53</f>
        <v>0</v>
      </c>
      <c r="C54" s="22">
        <f t="shared" si="37"/>
        <v>12000</v>
      </c>
      <c r="D54" s="22">
        <f t="shared" ref="D54" si="38">D49-D53</f>
        <v>38920</v>
      </c>
      <c r="E54" s="22">
        <f t="shared" ref="E54:G54" si="39">E49-E53</f>
        <v>44220</v>
      </c>
      <c r="F54" s="22">
        <f t="shared" si="39"/>
        <v>53020</v>
      </c>
      <c r="G54" s="22">
        <f t="shared" si="39"/>
        <v>18670</v>
      </c>
      <c r="H54" s="22">
        <f t="shared" ref="H54:I54" si="40">H49-H53</f>
        <v>23970</v>
      </c>
      <c r="I54" s="22">
        <f t="shared" si="40"/>
        <v>32770</v>
      </c>
      <c r="J54" s="22">
        <v>0</v>
      </c>
      <c r="K54" s="22">
        <f t="shared" ref="K54:Q54" si="41">K49-K53</f>
        <v>10300</v>
      </c>
      <c r="L54" s="22">
        <f t="shared" si="41"/>
        <v>21760</v>
      </c>
      <c r="M54" s="22">
        <f t="shared" si="41"/>
        <v>26460</v>
      </c>
      <c r="N54" s="22">
        <f t="shared" si="41"/>
        <v>33660</v>
      </c>
      <c r="O54" s="22">
        <f t="shared" si="41"/>
        <v>9300</v>
      </c>
      <c r="P54" s="22">
        <f t="shared" si="41"/>
        <v>14000</v>
      </c>
      <c r="Q54" s="22">
        <f t="shared" si="41"/>
        <v>21200</v>
      </c>
      <c r="R54" s="22">
        <f t="shared" ref="R54:Y54" si="42">R49-R53</f>
        <v>0</v>
      </c>
      <c r="S54" s="22">
        <f t="shared" si="42"/>
        <v>10300</v>
      </c>
      <c r="T54" s="22">
        <f t="shared" si="42"/>
        <v>17030</v>
      </c>
      <c r="U54" s="22">
        <f t="shared" si="42"/>
        <v>21730</v>
      </c>
      <c r="V54" s="22">
        <f t="shared" si="42"/>
        <v>28930</v>
      </c>
      <c r="W54" s="22">
        <f t="shared" si="42"/>
        <v>10300</v>
      </c>
      <c r="X54" s="22">
        <f t="shared" si="42"/>
        <v>15000</v>
      </c>
      <c r="Y54" s="22">
        <f t="shared" si="42"/>
        <v>22200</v>
      </c>
    </row>
    <row r="55" spans="1:25" x14ac:dyDescent="0.2">
      <c r="A55" s="28" t="s">
        <v>45</v>
      </c>
      <c r="B55" s="29">
        <v>0</v>
      </c>
      <c r="C55" s="29">
        <f>C54</f>
        <v>12000</v>
      </c>
      <c r="D55" s="29">
        <f t="shared" ref="D55" si="43">D54</f>
        <v>38920</v>
      </c>
      <c r="E55" s="29">
        <f t="shared" ref="E55:G55" si="44">E54</f>
        <v>44220</v>
      </c>
      <c r="F55" s="29">
        <f t="shared" si="44"/>
        <v>53020</v>
      </c>
      <c r="G55" s="29">
        <f t="shared" si="44"/>
        <v>18670</v>
      </c>
      <c r="H55" s="29">
        <f t="shared" ref="H55:I55" si="45">H54</f>
        <v>23970</v>
      </c>
      <c r="I55" s="29">
        <f t="shared" si="45"/>
        <v>32770</v>
      </c>
      <c r="J55" s="29">
        <f t="shared" ref="J55" si="46">J54-$B$54</f>
        <v>0</v>
      </c>
      <c r="K55" s="29">
        <f>K54</f>
        <v>10300</v>
      </c>
      <c r="L55" s="29">
        <f t="shared" ref="L55:Q55" si="47">L54</f>
        <v>21760</v>
      </c>
      <c r="M55" s="29">
        <f t="shared" si="47"/>
        <v>26460</v>
      </c>
      <c r="N55" s="29">
        <f t="shared" si="47"/>
        <v>33660</v>
      </c>
      <c r="O55" s="29">
        <f t="shared" si="47"/>
        <v>9300</v>
      </c>
      <c r="P55" s="29">
        <f t="shared" si="47"/>
        <v>14000</v>
      </c>
      <c r="Q55" s="29">
        <f t="shared" si="47"/>
        <v>21200</v>
      </c>
      <c r="R55" s="29">
        <f>R54-$B$49</f>
        <v>0</v>
      </c>
      <c r="S55" s="29">
        <f>S54</f>
        <v>10300</v>
      </c>
      <c r="T55" s="29">
        <f t="shared" ref="T55:Y55" si="48">T54</f>
        <v>17030</v>
      </c>
      <c r="U55" s="29">
        <f t="shared" si="48"/>
        <v>21730</v>
      </c>
      <c r="V55" s="29">
        <f t="shared" si="48"/>
        <v>28930</v>
      </c>
      <c r="W55" s="29">
        <f t="shared" si="48"/>
        <v>10300</v>
      </c>
      <c r="X55" s="29">
        <f t="shared" si="48"/>
        <v>15000</v>
      </c>
      <c r="Y55" s="29">
        <f t="shared" si="48"/>
        <v>22200</v>
      </c>
    </row>
    <row r="56" spans="1:25" x14ac:dyDescent="0.2">
      <c r="A56" s="34" t="s">
        <v>66</v>
      </c>
      <c r="B56" s="35">
        <v>17520</v>
      </c>
      <c r="C56" s="35">
        <f>B56</f>
        <v>17520</v>
      </c>
      <c r="D56" s="35">
        <f t="shared" ref="D56" si="49">C56</f>
        <v>17520</v>
      </c>
      <c r="E56" s="35">
        <f t="shared" ref="E56:E57" si="50">D56</f>
        <v>17520</v>
      </c>
      <c r="F56" s="35">
        <f t="shared" ref="F56:F57" si="51">E56</f>
        <v>17520</v>
      </c>
      <c r="G56" s="35">
        <f t="shared" ref="G56:G57" si="52">F56</f>
        <v>17520</v>
      </c>
      <c r="H56" s="35">
        <f t="shared" ref="H56:H57" si="53">G56</f>
        <v>17520</v>
      </c>
      <c r="I56" s="35">
        <f t="shared" ref="I56:I57" si="54">H56</f>
        <v>17520</v>
      </c>
      <c r="J56" s="35">
        <v>9900</v>
      </c>
      <c r="K56" s="35">
        <f>J56</f>
        <v>9900</v>
      </c>
      <c r="L56" s="35">
        <f t="shared" ref="L56:L57" si="55">K56</f>
        <v>9900</v>
      </c>
      <c r="M56" s="35">
        <f t="shared" ref="M56:M57" si="56">L56</f>
        <v>9900</v>
      </c>
      <c r="N56" s="35">
        <f t="shared" ref="N56:N57" si="57">M56</f>
        <v>9900</v>
      </c>
      <c r="O56" s="35">
        <f t="shared" ref="O56:O57" si="58">N56</f>
        <v>9900</v>
      </c>
      <c r="P56" s="35">
        <f t="shared" ref="P56:P57" si="59">O56</f>
        <v>9900</v>
      </c>
      <c r="Q56" s="35">
        <f t="shared" ref="Q56:Q57" si="60">P56</f>
        <v>9900</v>
      </c>
      <c r="R56" s="35">
        <v>1800</v>
      </c>
      <c r="S56" s="35">
        <f>R56</f>
        <v>1800</v>
      </c>
      <c r="T56" s="35">
        <f t="shared" ref="T56:T57" si="61">S56</f>
        <v>1800</v>
      </c>
      <c r="U56" s="35">
        <f t="shared" ref="U56:U57" si="62">T56</f>
        <v>1800</v>
      </c>
      <c r="V56" s="35">
        <f t="shared" ref="V56:V57" si="63">U56</f>
        <v>1800</v>
      </c>
      <c r="W56" s="35">
        <f t="shared" ref="W56:W57" si="64">V56</f>
        <v>1800</v>
      </c>
      <c r="X56" s="35">
        <f t="shared" ref="X56:X57" si="65">W56</f>
        <v>1800</v>
      </c>
      <c r="Y56" s="35">
        <f t="shared" ref="Y56:Y57" si="66">X56</f>
        <v>1800</v>
      </c>
    </row>
    <row r="57" spans="1:25" x14ac:dyDescent="0.2">
      <c r="A57" s="82" t="s">
        <v>67</v>
      </c>
      <c r="B57" s="101">
        <v>1600</v>
      </c>
      <c r="C57" s="101">
        <f>B57</f>
        <v>1600</v>
      </c>
      <c r="D57" s="101">
        <f t="shared" ref="D57" si="67">C57</f>
        <v>1600</v>
      </c>
      <c r="E57" s="101">
        <f t="shared" si="50"/>
        <v>1600</v>
      </c>
      <c r="F57" s="101">
        <f t="shared" si="51"/>
        <v>1600</v>
      </c>
      <c r="G57" s="101">
        <f t="shared" si="52"/>
        <v>1600</v>
      </c>
      <c r="H57" s="101">
        <f t="shared" si="53"/>
        <v>1600</v>
      </c>
      <c r="I57" s="101">
        <f t="shared" si="54"/>
        <v>1600</v>
      </c>
      <c r="J57" s="101">
        <v>3200</v>
      </c>
      <c r="K57" s="101">
        <f>J57</f>
        <v>3200</v>
      </c>
      <c r="L57" s="101">
        <f t="shared" si="55"/>
        <v>3200</v>
      </c>
      <c r="M57" s="101">
        <f t="shared" si="56"/>
        <v>3200</v>
      </c>
      <c r="N57" s="101">
        <f t="shared" si="57"/>
        <v>3200</v>
      </c>
      <c r="O57" s="101">
        <f t="shared" si="58"/>
        <v>3200</v>
      </c>
      <c r="P57" s="101">
        <f t="shared" si="59"/>
        <v>3200</v>
      </c>
      <c r="Q57" s="101">
        <f t="shared" si="60"/>
        <v>3200</v>
      </c>
      <c r="R57" s="101">
        <v>3200</v>
      </c>
      <c r="S57" s="101">
        <f>R57</f>
        <v>3200</v>
      </c>
      <c r="T57" s="101">
        <f t="shared" si="61"/>
        <v>3200</v>
      </c>
      <c r="U57" s="101">
        <f t="shared" si="62"/>
        <v>3200</v>
      </c>
      <c r="V57" s="101">
        <f t="shared" si="63"/>
        <v>3200</v>
      </c>
      <c r="W57" s="101">
        <f t="shared" si="64"/>
        <v>3200</v>
      </c>
      <c r="X57" s="101">
        <f t="shared" si="65"/>
        <v>3200</v>
      </c>
      <c r="Y57" s="101">
        <f t="shared" si="66"/>
        <v>3200</v>
      </c>
    </row>
    <row r="58" spans="1:25" x14ac:dyDescent="0.2">
      <c r="A58" s="82" t="s">
        <v>203</v>
      </c>
      <c r="B58" s="101"/>
      <c r="C58" s="101">
        <v>800</v>
      </c>
      <c r="D58" s="101">
        <v>4250</v>
      </c>
      <c r="E58" s="101">
        <v>4250</v>
      </c>
      <c r="F58" s="101">
        <v>4250</v>
      </c>
      <c r="G58" s="101">
        <v>4780</v>
      </c>
      <c r="H58" s="101">
        <v>4780</v>
      </c>
      <c r="I58" s="101">
        <v>4780</v>
      </c>
      <c r="J58" s="101"/>
      <c r="K58" s="101">
        <v>1230</v>
      </c>
      <c r="L58" s="101">
        <v>2910</v>
      </c>
      <c r="M58" s="101">
        <v>2910</v>
      </c>
      <c r="N58" s="101">
        <v>2910</v>
      </c>
      <c r="O58" s="101">
        <v>3280</v>
      </c>
      <c r="P58" s="101">
        <v>3280</v>
      </c>
      <c r="Q58" s="101">
        <v>3280</v>
      </c>
      <c r="R58" s="101"/>
      <c r="S58" s="101">
        <v>1230</v>
      </c>
      <c r="T58" s="101">
        <v>1110</v>
      </c>
      <c r="U58" s="101">
        <v>1110</v>
      </c>
      <c r="V58" s="101">
        <v>1110</v>
      </c>
      <c r="W58" s="101">
        <v>1250</v>
      </c>
      <c r="X58" s="101">
        <v>1250</v>
      </c>
      <c r="Y58" s="101">
        <v>1250</v>
      </c>
    </row>
    <row r="59" spans="1:25" x14ac:dyDescent="0.2">
      <c r="A59" s="82" t="s">
        <v>221</v>
      </c>
      <c r="B59" s="101"/>
      <c r="C59" s="158">
        <v>900</v>
      </c>
      <c r="D59" s="158">
        <v>900</v>
      </c>
      <c r="E59" s="158">
        <v>900</v>
      </c>
      <c r="F59" s="158">
        <v>900</v>
      </c>
      <c r="G59" s="158">
        <v>900</v>
      </c>
      <c r="H59" s="158">
        <v>900</v>
      </c>
      <c r="I59" s="158">
        <v>900</v>
      </c>
      <c r="J59" s="158"/>
      <c r="K59" s="158">
        <v>900</v>
      </c>
      <c r="L59" s="158">
        <v>900</v>
      </c>
      <c r="M59" s="158">
        <v>900</v>
      </c>
      <c r="N59" s="158">
        <v>900</v>
      </c>
      <c r="O59" s="158">
        <v>900</v>
      </c>
      <c r="P59" s="158">
        <v>900</v>
      </c>
      <c r="Q59" s="158">
        <v>900</v>
      </c>
      <c r="R59" s="158"/>
      <c r="S59" s="158">
        <v>900</v>
      </c>
      <c r="T59" s="158">
        <v>900</v>
      </c>
      <c r="U59" s="158">
        <v>900</v>
      </c>
      <c r="V59" s="158">
        <v>900</v>
      </c>
      <c r="W59" s="158">
        <v>900</v>
      </c>
      <c r="X59" s="158">
        <v>900</v>
      </c>
      <c r="Y59" s="158">
        <v>900</v>
      </c>
    </row>
    <row r="60" spans="1:25" x14ac:dyDescent="0.2">
      <c r="A60" s="82" t="s">
        <v>222</v>
      </c>
      <c r="B60" s="101"/>
      <c r="C60" s="101">
        <v>3600</v>
      </c>
      <c r="D60" s="101">
        <v>3600</v>
      </c>
      <c r="E60" s="101">
        <v>7200</v>
      </c>
      <c r="F60" s="101">
        <v>7200</v>
      </c>
      <c r="G60" s="101">
        <v>3600</v>
      </c>
      <c r="H60" s="101">
        <v>7200</v>
      </c>
      <c r="I60" s="101">
        <v>7200</v>
      </c>
      <c r="J60" s="101"/>
      <c r="K60" s="101">
        <v>2700</v>
      </c>
      <c r="L60" s="101">
        <v>2700</v>
      </c>
      <c r="M60" s="101">
        <v>5400</v>
      </c>
      <c r="N60" s="101">
        <v>5400</v>
      </c>
      <c r="O60" s="101">
        <v>2700</v>
      </c>
      <c r="P60" s="101">
        <v>5400</v>
      </c>
      <c r="Q60" s="101">
        <v>5400</v>
      </c>
      <c r="R60" s="101"/>
      <c r="S60" s="101">
        <v>2700</v>
      </c>
      <c r="T60" s="101">
        <v>2700</v>
      </c>
      <c r="U60" s="101">
        <v>5400</v>
      </c>
      <c r="V60" s="101">
        <v>5400</v>
      </c>
      <c r="W60" s="101">
        <v>2700</v>
      </c>
      <c r="X60" s="101">
        <v>5400</v>
      </c>
      <c r="Y60" s="101">
        <v>5400</v>
      </c>
    </row>
    <row r="61" spans="1:25" x14ac:dyDescent="0.2">
      <c r="A61" s="82" t="s">
        <v>224</v>
      </c>
      <c r="B61" s="101"/>
      <c r="C61" s="101">
        <v>230</v>
      </c>
      <c r="D61" s="101">
        <v>410</v>
      </c>
      <c r="E61" s="101">
        <v>480</v>
      </c>
      <c r="F61" s="101">
        <v>950</v>
      </c>
      <c r="G61" s="101">
        <v>460</v>
      </c>
      <c r="H61" s="101">
        <v>540</v>
      </c>
      <c r="I61" s="101">
        <v>1070</v>
      </c>
      <c r="J61" s="101"/>
      <c r="K61" s="101">
        <v>350</v>
      </c>
      <c r="L61" s="101">
        <v>280</v>
      </c>
      <c r="M61" s="101">
        <v>330</v>
      </c>
      <c r="N61" s="101">
        <v>650</v>
      </c>
      <c r="O61" s="101">
        <v>310</v>
      </c>
      <c r="P61" s="101">
        <v>370</v>
      </c>
      <c r="Q61" s="101">
        <v>730</v>
      </c>
      <c r="R61" s="101"/>
      <c r="S61" s="101">
        <v>350</v>
      </c>
      <c r="T61" s="101">
        <v>110</v>
      </c>
      <c r="U61" s="101">
        <v>130</v>
      </c>
      <c r="V61" s="101">
        <v>250</v>
      </c>
      <c r="W61" s="101">
        <v>120</v>
      </c>
      <c r="X61" s="101">
        <v>140</v>
      </c>
      <c r="Y61" s="101">
        <v>280</v>
      </c>
    </row>
    <row r="62" spans="1:25" x14ac:dyDescent="0.2">
      <c r="A62" s="82" t="s">
        <v>223</v>
      </c>
      <c r="B62" s="101"/>
      <c r="C62" s="101">
        <v>1150</v>
      </c>
      <c r="D62" s="101">
        <v>1150</v>
      </c>
      <c r="E62" s="101">
        <v>1360</v>
      </c>
      <c r="F62" s="101">
        <v>2680</v>
      </c>
      <c r="G62" s="101">
        <v>1150</v>
      </c>
      <c r="H62" s="101">
        <v>1360</v>
      </c>
      <c r="I62" s="101">
        <v>2680</v>
      </c>
      <c r="J62" s="101"/>
      <c r="K62" s="101">
        <v>860</v>
      </c>
      <c r="L62" s="101">
        <v>860</v>
      </c>
      <c r="M62" s="101">
        <v>1020</v>
      </c>
      <c r="N62" s="101">
        <v>2010</v>
      </c>
      <c r="O62" s="101">
        <v>860</v>
      </c>
      <c r="P62" s="101">
        <v>1020</v>
      </c>
      <c r="Q62" s="101">
        <v>2010</v>
      </c>
      <c r="R62" s="101"/>
      <c r="S62" s="101">
        <v>860</v>
      </c>
      <c r="T62" s="101">
        <v>860</v>
      </c>
      <c r="U62" s="101">
        <v>1020</v>
      </c>
      <c r="V62" s="101">
        <v>2010</v>
      </c>
      <c r="W62" s="101">
        <v>860</v>
      </c>
      <c r="X62" s="101">
        <v>1020</v>
      </c>
      <c r="Y62" s="101">
        <v>2010</v>
      </c>
    </row>
    <row r="63" spans="1:25" x14ac:dyDescent="0.2">
      <c r="A63" s="82" t="s">
        <v>98</v>
      </c>
      <c r="B63" s="115">
        <v>2500</v>
      </c>
      <c r="C63" s="115">
        <v>2066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  <c r="I63" s="115">
        <v>0</v>
      </c>
      <c r="J63" s="101"/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5">
        <v>0</v>
      </c>
      <c r="Q63" s="115">
        <v>0</v>
      </c>
      <c r="R63" s="101"/>
      <c r="S63" s="115">
        <v>0</v>
      </c>
      <c r="T63" s="115">
        <v>0</v>
      </c>
      <c r="U63" s="115">
        <v>0</v>
      </c>
      <c r="V63" s="115">
        <v>0</v>
      </c>
      <c r="W63" s="115">
        <v>0</v>
      </c>
      <c r="X63" s="115">
        <v>0</v>
      </c>
      <c r="Y63" s="115">
        <v>0</v>
      </c>
    </row>
    <row r="64" spans="1:25" x14ac:dyDescent="0.2">
      <c r="A64" s="36" t="s">
        <v>80</v>
      </c>
      <c r="B64" s="37"/>
      <c r="C64" s="37"/>
      <c r="D64" s="37"/>
      <c r="E64" s="37"/>
      <c r="F64" s="37"/>
      <c r="G64" s="37"/>
      <c r="H64" s="37"/>
      <c r="I64" s="37"/>
      <c r="J64" s="37">
        <v>15000</v>
      </c>
      <c r="K64" s="37">
        <v>11000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5500</v>
      </c>
      <c r="S64" s="37">
        <v>1500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</row>
    <row r="65" spans="1:25" x14ac:dyDescent="0.2">
      <c r="A65" s="36" t="s">
        <v>44</v>
      </c>
      <c r="B65" s="37">
        <v>4000</v>
      </c>
      <c r="C65" s="37">
        <f>$B$65-C62</f>
        <v>2850</v>
      </c>
      <c r="D65" s="37">
        <f t="shared" ref="D65:F65" si="68">$B$65-D62</f>
        <v>2850</v>
      </c>
      <c r="E65" s="37">
        <f t="shared" si="68"/>
        <v>2640</v>
      </c>
      <c r="F65" s="37">
        <f t="shared" si="68"/>
        <v>1320</v>
      </c>
      <c r="G65" s="37">
        <f t="shared" ref="G65:I65" si="69">$B$65-G62</f>
        <v>2850</v>
      </c>
      <c r="H65" s="37">
        <f t="shared" si="69"/>
        <v>2640</v>
      </c>
      <c r="I65" s="37">
        <f t="shared" si="69"/>
        <v>1320</v>
      </c>
      <c r="J65" s="37">
        <v>3000</v>
      </c>
      <c r="K65" s="37">
        <f>$J$65-K62</f>
        <v>2140</v>
      </c>
      <c r="L65" s="37">
        <f t="shared" ref="L65:Q65" si="70">$J$65-L62</f>
        <v>2140</v>
      </c>
      <c r="M65" s="37">
        <f t="shared" si="70"/>
        <v>1980</v>
      </c>
      <c r="N65" s="37">
        <f t="shared" si="70"/>
        <v>990</v>
      </c>
      <c r="O65" s="37">
        <f t="shared" si="70"/>
        <v>2140</v>
      </c>
      <c r="P65" s="37">
        <f t="shared" si="70"/>
        <v>1980</v>
      </c>
      <c r="Q65" s="37">
        <f t="shared" si="70"/>
        <v>990</v>
      </c>
      <c r="R65" s="37">
        <v>3000</v>
      </c>
      <c r="S65" s="37">
        <f>$J$65-S62</f>
        <v>2140</v>
      </c>
      <c r="T65" s="37">
        <f t="shared" ref="T65:Y65" si="71">$J$65-T62</f>
        <v>2140</v>
      </c>
      <c r="U65" s="37">
        <f t="shared" si="71"/>
        <v>1980</v>
      </c>
      <c r="V65" s="37">
        <f t="shared" si="71"/>
        <v>990</v>
      </c>
      <c r="W65" s="37">
        <f t="shared" si="71"/>
        <v>2140</v>
      </c>
      <c r="X65" s="37">
        <f t="shared" si="71"/>
        <v>1980</v>
      </c>
      <c r="Y65" s="37">
        <f t="shared" si="71"/>
        <v>990</v>
      </c>
    </row>
    <row r="66" spans="1:25" x14ac:dyDescent="0.2">
      <c r="A66" s="36" t="s">
        <v>203</v>
      </c>
      <c r="B66" s="37"/>
      <c r="C66" s="37">
        <f>C58-C61</f>
        <v>570</v>
      </c>
      <c r="D66" s="37">
        <f t="shared" ref="D66:F66" si="72">D58-D61</f>
        <v>3840</v>
      </c>
      <c r="E66" s="37">
        <f t="shared" si="72"/>
        <v>3770</v>
      </c>
      <c r="F66" s="37">
        <f t="shared" si="72"/>
        <v>3300</v>
      </c>
      <c r="G66" s="37">
        <f t="shared" ref="G66:I66" si="73">G58-G61</f>
        <v>4320</v>
      </c>
      <c r="H66" s="37">
        <f t="shared" si="73"/>
        <v>4240</v>
      </c>
      <c r="I66" s="37">
        <f t="shared" si="73"/>
        <v>3710</v>
      </c>
      <c r="J66" s="37"/>
      <c r="K66" s="37">
        <f>K58-K61</f>
        <v>880</v>
      </c>
      <c r="L66" s="37">
        <f t="shared" ref="L66:Q66" si="74">L58-L61</f>
        <v>2630</v>
      </c>
      <c r="M66" s="37">
        <f t="shared" si="74"/>
        <v>2580</v>
      </c>
      <c r="N66" s="37">
        <f t="shared" si="74"/>
        <v>2260</v>
      </c>
      <c r="O66" s="37">
        <f t="shared" si="74"/>
        <v>2970</v>
      </c>
      <c r="P66" s="37">
        <f t="shared" si="74"/>
        <v>2910</v>
      </c>
      <c r="Q66" s="37">
        <f t="shared" si="74"/>
        <v>2550</v>
      </c>
      <c r="R66" s="37"/>
      <c r="S66" s="37">
        <f>S58-S61</f>
        <v>880</v>
      </c>
      <c r="T66" s="37">
        <f t="shared" ref="T66:Y66" si="75">T58-T61</f>
        <v>1000</v>
      </c>
      <c r="U66" s="37">
        <f t="shared" si="75"/>
        <v>980</v>
      </c>
      <c r="V66" s="37">
        <f t="shared" si="75"/>
        <v>860</v>
      </c>
      <c r="W66" s="37">
        <f t="shared" si="75"/>
        <v>1130</v>
      </c>
      <c r="X66" s="37">
        <f t="shared" si="75"/>
        <v>1110</v>
      </c>
      <c r="Y66" s="37">
        <f t="shared" si="75"/>
        <v>970</v>
      </c>
    </row>
    <row r="67" spans="1:25" x14ac:dyDescent="0.2">
      <c r="A67" s="36" t="s">
        <v>228</v>
      </c>
      <c r="B67" s="37"/>
      <c r="C67" s="37">
        <v>2220</v>
      </c>
      <c r="D67" s="37">
        <v>2040</v>
      </c>
      <c r="E67" s="37">
        <v>5360</v>
      </c>
      <c r="F67" s="37">
        <v>3240</v>
      </c>
      <c r="G67" s="37">
        <v>1990</v>
      </c>
      <c r="H67" s="37">
        <v>5300</v>
      </c>
      <c r="I67" s="37">
        <v>3120</v>
      </c>
      <c r="J67" s="37"/>
      <c r="K67" s="37">
        <v>1490</v>
      </c>
      <c r="L67" s="37">
        <v>1560</v>
      </c>
      <c r="M67" s="37">
        <v>4050</v>
      </c>
      <c r="N67" s="37">
        <v>2490</v>
      </c>
      <c r="O67" s="37">
        <v>1530</v>
      </c>
      <c r="P67" s="37">
        <v>4010</v>
      </c>
      <c r="Q67" s="37">
        <v>2410</v>
      </c>
      <c r="R67" s="37"/>
      <c r="S67" s="37">
        <v>1490</v>
      </c>
      <c r="T67" s="37">
        <v>1730</v>
      </c>
      <c r="U67" s="37">
        <v>4250</v>
      </c>
      <c r="V67" s="37">
        <v>2890</v>
      </c>
      <c r="W67" s="37">
        <v>1720</v>
      </c>
      <c r="X67" s="37">
        <v>4240</v>
      </c>
      <c r="Y67" s="37">
        <v>2860</v>
      </c>
    </row>
    <row r="68" spans="1:25" x14ac:dyDescent="0.2">
      <c r="A68" s="36" t="s">
        <v>18</v>
      </c>
      <c r="B68" s="37">
        <f>10.6*B22+B65</f>
        <v>30500</v>
      </c>
      <c r="C68" s="37">
        <v>23100</v>
      </c>
      <c r="D68" s="37">
        <v>4650</v>
      </c>
      <c r="E68" s="37">
        <v>1050</v>
      </c>
      <c r="F68" s="37">
        <v>1380</v>
      </c>
      <c r="G68" s="37">
        <v>5180</v>
      </c>
      <c r="H68" s="37">
        <v>1580</v>
      </c>
      <c r="I68" s="37">
        <v>1910</v>
      </c>
      <c r="J68" s="37">
        <v>18000</v>
      </c>
      <c r="K68" s="37">
        <v>12530</v>
      </c>
      <c r="L68" s="37">
        <v>3210</v>
      </c>
      <c r="M68" s="37">
        <v>510</v>
      </c>
      <c r="N68" s="37">
        <v>760</v>
      </c>
      <c r="O68" s="37">
        <v>3580</v>
      </c>
      <c r="P68" s="37">
        <v>880</v>
      </c>
      <c r="Q68" s="37">
        <v>1130</v>
      </c>
      <c r="R68" s="37">
        <v>8500</v>
      </c>
      <c r="S68" s="37">
        <v>3030</v>
      </c>
      <c r="T68" s="37">
        <v>1410</v>
      </c>
      <c r="U68" s="37">
        <v>-1290</v>
      </c>
      <c r="V68" s="37">
        <v>-1040</v>
      </c>
      <c r="W68" s="37">
        <v>1550</v>
      </c>
      <c r="X68" s="37">
        <v>-1150</v>
      </c>
      <c r="Y68" s="37">
        <v>-900</v>
      </c>
    </row>
    <row r="69" spans="1:25" x14ac:dyDescent="0.2">
      <c r="A69" s="36" t="s">
        <v>41</v>
      </c>
      <c r="B69" s="38">
        <f>10*ROUND((100*B22*$B$6+B65*$B$8)/1000,0)</f>
        <v>5100</v>
      </c>
      <c r="C69" s="38">
        <v>4190</v>
      </c>
      <c r="D69" s="38">
        <v>2220</v>
      </c>
      <c r="E69" s="38">
        <v>2110</v>
      </c>
      <c r="F69" s="38">
        <v>1450</v>
      </c>
      <c r="G69" s="38">
        <v>2350</v>
      </c>
      <c r="H69" s="38">
        <v>2240</v>
      </c>
      <c r="I69" s="38">
        <v>1570</v>
      </c>
      <c r="J69" s="38">
        <v>3000</v>
      </c>
      <c r="K69" s="38">
        <v>2420</v>
      </c>
      <c r="L69" s="38">
        <v>1590</v>
      </c>
      <c r="M69" s="38">
        <v>1510</v>
      </c>
      <c r="N69" s="38">
        <v>1030</v>
      </c>
      <c r="O69" s="38">
        <v>1690</v>
      </c>
      <c r="P69" s="38">
        <v>1610</v>
      </c>
      <c r="Q69" s="38">
        <v>1110</v>
      </c>
      <c r="R69" s="38">
        <v>1860</v>
      </c>
      <c r="S69" s="38">
        <v>1280</v>
      </c>
      <c r="T69" s="38">
        <v>1140</v>
      </c>
      <c r="U69" s="38">
        <v>1070</v>
      </c>
      <c r="V69" s="38">
        <v>640</v>
      </c>
      <c r="W69" s="38">
        <v>1170</v>
      </c>
      <c r="X69" s="38">
        <v>1100</v>
      </c>
      <c r="Y69" s="38">
        <v>670</v>
      </c>
    </row>
    <row r="70" spans="1:25" x14ac:dyDescent="0.2">
      <c r="A70" s="167" t="s">
        <v>229</v>
      </c>
      <c r="B70" s="174"/>
      <c r="C70" s="174">
        <v>180</v>
      </c>
      <c r="D70" s="174">
        <v>170</v>
      </c>
      <c r="E70" s="174">
        <v>440</v>
      </c>
      <c r="F70" s="174">
        <v>270</v>
      </c>
      <c r="G70" s="174">
        <v>160</v>
      </c>
      <c r="H70" s="174">
        <v>430</v>
      </c>
      <c r="I70" s="174">
        <v>260</v>
      </c>
      <c r="J70" s="174"/>
      <c r="K70" s="174">
        <v>120</v>
      </c>
      <c r="L70" s="174">
        <v>130</v>
      </c>
      <c r="M70" s="174">
        <v>330</v>
      </c>
      <c r="N70" s="174">
        <v>200</v>
      </c>
      <c r="O70" s="174">
        <v>130</v>
      </c>
      <c r="P70" s="174">
        <v>330</v>
      </c>
      <c r="Q70" s="174">
        <v>200</v>
      </c>
      <c r="R70" s="174"/>
      <c r="S70" s="174">
        <v>120</v>
      </c>
      <c r="T70" s="174">
        <v>140</v>
      </c>
      <c r="U70" s="174">
        <v>350</v>
      </c>
      <c r="V70" s="174">
        <v>240</v>
      </c>
      <c r="W70" s="174">
        <v>140</v>
      </c>
      <c r="X70" s="174">
        <v>350</v>
      </c>
      <c r="Y70" s="174">
        <v>230</v>
      </c>
    </row>
    <row r="71" spans="1:25" x14ac:dyDescent="0.2">
      <c r="A71" s="33" t="s">
        <v>42</v>
      </c>
      <c r="B71" s="31">
        <v>200</v>
      </c>
      <c r="C71" s="31">
        <v>370</v>
      </c>
      <c r="D71" s="31">
        <v>220</v>
      </c>
      <c r="E71" s="31">
        <v>240</v>
      </c>
      <c r="F71" s="31">
        <v>240</v>
      </c>
      <c r="G71" s="31">
        <v>220</v>
      </c>
      <c r="H71" s="31">
        <v>240</v>
      </c>
      <c r="I71" s="31">
        <v>240</v>
      </c>
      <c r="J71" s="31">
        <v>150</v>
      </c>
      <c r="K71" s="31">
        <v>310</v>
      </c>
      <c r="L71" s="31">
        <v>210</v>
      </c>
      <c r="M71" s="31">
        <v>230</v>
      </c>
      <c r="N71" s="31">
        <v>230</v>
      </c>
      <c r="O71" s="31">
        <v>210</v>
      </c>
      <c r="P71" s="31">
        <v>230</v>
      </c>
      <c r="Q71" s="31">
        <v>230</v>
      </c>
      <c r="R71" s="142">
        <v>150</v>
      </c>
      <c r="S71" s="31">
        <v>310</v>
      </c>
      <c r="T71" s="31">
        <v>210</v>
      </c>
      <c r="U71" s="31">
        <v>230</v>
      </c>
      <c r="V71" s="31">
        <v>230</v>
      </c>
      <c r="W71" s="31">
        <v>210</v>
      </c>
      <c r="X71" s="31">
        <v>230</v>
      </c>
      <c r="Y71" s="31">
        <v>230</v>
      </c>
    </row>
    <row r="72" spans="1:25" x14ac:dyDescent="0.2">
      <c r="A72" s="175" t="s">
        <v>240</v>
      </c>
      <c r="B72" s="176"/>
      <c r="C72" s="176"/>
      <c r="D72" s="176"/>
      <c r="E72" s="176"/>
      <c r="F72" s="176">
        <v>220</v>
      </c>
      <c r="G72" s="176">
        <v>0</v>
      </c>
      <c r="H72" s="176">
        <v>0</v>
      </c>
      <c r="I72" s="176">
        <v>220</v>
      </c>
      <c r="J72" s="176"/>
      <c r="K72" s="176">
        <v>0</v>
      </c>
      <c r="L72" s="176">
        <v>0</v>
      </c>
      <c r="M72" s="176">
        <v>0</v>
      </c>
      <c r="N72" s="176">
        <v>200</v>
      </c>
      <c r="O72" s="176">
        <v>0</v>
      </c>
      <c r="P72" s="176">
        <v>0</v>
      </c>
      <c r="Q72" s="176">
        <v>200</v>
      </c>
      <c r="R72" s="177"/>
      <c r="S72" s="176">
        <v>0</v>
      </c>
      <c r="T72" s="176">
        <v>0</v>
      </c>
      <c r="U72" s="176">
        <v>0</v>
      </c>
      <c r="V72" s="176">
        <v>200</v>
      </c>
      <c r="W72" s="176">
        <v>0</v>
      </c>
      <c r="X72" s="176">
        <v>0</v>
      </c>
      <c r="Y72" s="176">
        <v>200</v>
      </c>
    </row>
    <row r="73" spans="1:25" x14ac:dyDescent="0.2">
      <c r="A73" s="39" t="s">
        <v>43</v>
      </c>
      <c r="B73" s="40">
        <f>B69+B71</f>
        <v>5300</v>
      </c>
      <c r="C73" s="40">
        <f>C69+C71-C70+C72</f>
        <v>4380</v>
      </c>
      <c r="D73" s="40">
        <f t="shared" ref="D73:R73" si="76">D69+D71-D70+D72</f>
        <v>2270</v>
      </c>
      <c r="E73" s="40">
        <f t="shared" si="76"/>
        <v>1910</v>
      </c>
      <c r="F73" s="40">
        <f t="shared" si="76"/>
        <v>1640</v>
      </c>
      <c r="G73" s="40">
        <f t="shared" ref="G73" si="77">G69+G71-G70+G72</f>
        <v>2410</v>
      </c>
      <c r="H73" s="40">
        <f t="shared" ref="H73" si="78">H69+H71-H70+H72</f>
        <v>2050</v>
      </c>
      <c r="I73" s="40">
        <f t="shared" ref="I73" si="79">I69+I71-I70+I72</f>
        <v>1770</v>
      </c>
      <c r="J73" s="40">
        <f t="shared" si="76"/>
        <v>3150</v>
      </c>
      <c r="K73" s="40">
        <f>K69+K71-K70+K72</f>
        <v>2610</v>
      </c>
      <c r="L73" s="40">
        <f t="shared" ref="L73:Q73" si="80">L69+L71-L70+L72</f>
        <v>1670</v>
      </c>
      <c r="M73" s="40">
        <f t="shared" si="80"/>
        <v>1410</v>
      </c>
      <c r="N73" s="40">
        <f t="shared" si="80"/>
        <v>1260</v>
      </c>
      <c r="O73" s="40">
        <f t="shared" si="80"/>
        <v>1770</v>
      </c>
      <c r="P73" s="40">
        <f t="shared" si="80"/>
        <v>1510</v>
      </c>
      <c r="Q73" s="40">
        <f t="shared" si="80"/>
        <v>1340</v>
      </c>
      <c r="R73" s="40">
        <f t="shared" si="76"/>
        <v>2010</v>
      </c>
      <c r="S73" s="40">
        <f>S69+S71-S70+S72</f>
        <v>1470</v>
      </c>
      <c r="T73" s="40">
        <f t="shared" ref="T73:Y73" si="81">T69+T71-T70+T72</f>
        <v>1210</v>
      </c>
      <c r="U73" s="40">
        <f t="shared" si="81"/>
        <v>950</v>
      </c>
      <c r="V73" s="40">
        <f t="shared" si="81"/>
        <v>830</v>
      </c>
      <c r="W73" s="40">
        <f t="shared" si="81"/>
        <v>1240</v>
      </c>
      <c r="X73" s="40">
        <f t="shared" si="81"/>
        <v>980</v>
      </c>
      <c r="Y73" s="40">
        <f t="shared" si="81"/>
        <v>870</v>
      </c>
    </row>
    <row r="74" spans="1:25" x14ac:dyDescent="0.2">
      <c r="A74" s="28" t="s">
        <v>2</v>
      </c>
      <c r="B74" s="41"/>
      <c r="C74" s="41">
        <f t="shared" ref="C74:I74" si="82">-C55-20*(C73-$B$73)</f>
        <v>6400</v>
      </c>
      <c r="D74" s="41">
        <f t="shared" si="82"/>
        <v>21680</v>
      </c>
      <c r="E74" s="41">
        <f>-E55-20*(E73-$B$73)</f>
        <v>23580</v>
      </c>
      <c r="F74" s="41">
        <f t="shared" si="82"/>
        <v>20180</v>
      </c>
      <c r="G74" s="41">
        <f t="shared" si="82"/>
        <v>39130</v>
      </c>
      <c r="H74" s="41">
        <f t="shared" si="82"/>
        <v>41030</v>
      </c>
      <c r="I74" s="41">
        <f t="shared" si="82"/>
        <v>37830</v>
      </c>
      <c r="J74" s="41"/>
      <c r="K74" s="41">
        <f>-K55-20*(K73-$J$73)</f>
        <v>500</v>
      </c>
      <c r="L74" s="41">
        <f t="shared" ref="L74:Q74" si="83">-L55-20*(L73-$J$73)</f>
        <v>7840</v>
      </c>
      <c r="M74" s="41">
        <f t="shared" si="83"/>
        <v>8340</v>
      </c>
      <c r="N74" s="41">
        <f t="shared" si="83"/>
        <v>4140</v>
      </c>
      <c r="O74" s="41">
        <f t="shared" si="83"/>
        <v>18300</v>
      </c>
      <c r="P74" s="41">
        <f t="shared" si="83"/>
        <v>18800</v>
      </c>
      <c r="Q74" s="41">
        <f t="shared" si="83"/>
        <v>15000</v>
      </c>
      <c r="R74" s="41"/>
      <c r="S74" s="41">
        <f>-S55-20*(S73-$R$73)</f>
        <v>500</v>
      </c>
      <c r="T74" s="41">
        <f t="shared" ref="T74:Y74" si="84">-T55-20*(T73-$R$73)</f>
        <v>-1030</v>
      </c>
      <c r="U74" s="41">
        <f t="shared" si="84"/>
        <v>-530</v>
      </c>
      <c r="V74" s="41">
        <f t="shared" si="84"/>
        <v>-5330</v>
      </c>
      <c r="W74" s="41">
        <f t="shared" si="84"/>
        <v>5100</v>
      </c>
      <c r="X74" s="41">
        <f t="shared" si="84"/>
        <v>5600</v>
      </c>
      <c r="Y74" s="41">
        <f t="shared" si="84"/>
        <v>600</v>
      </c>
    </row>
    <row r="75" spans="1:25" x14ac:dyDescent="0.2">
      <c r="A75" s="28" t="s">
        <v>16</v>
      </c>
      <c r="B75" s="42"/>
      <c r="C75" s="43">
        <f t="shared" ref="C75:I75" si="85">IF((($B$73-C73)=0),IF((C55&lt;=0),"sofort","nie"),IF((C55/($B$73-C73)&lt;=0),IF((C55&lt;=0),"sofort","nie"),C55/($B$73-C73)))</f>
        <v>13.043478260869565</v>
      </c>
      <c r="D75" s="43">
        <f t="shared" si="85"/>
        <v>12.844884488448844</v>
      </c>
      <c r="E75" s="43">
        <f t="shared" si="85"/>
        <v>13.044247787610619</v>
      </c>
      <c r="F75" s="43">
        <f t="shared" si="85"/>
        <v>14.486338797814208</v>
      </c>
      <c r="G75" s="43">
        <f t="shared" si="85"/>
        <v>6.4602076124567471</v>
      </c>
      <c r="H75" s="43">
        <f t="shared" si="85"/>
        <v>7.3753846153846156</v>
      </c>
      <c r="I75" s="43">
        <f t="shared" si="85"/>
        <v>9.2832861189801701</v>
      </c>
      <c r="J75" s="43"/>
      <c r="K75" s="43">
        <f>IF((($J$73-K73)=0),IF((K55&lt;=0),"sofort","nie"),IF((K55/($J$73-K73)&lt;=0),IF((K55&lt;=0),"sofort","nie"),K55/($J$73-K73)))</f>
        <v>19.074074074074073</v>
      </c>
      <c r="L75" s="43">
        <f t="shared" ref="L75:Q75" si="86">IF((($J$73-L73)=0),IF((L55&lt;=0),"sofort","nie"),IF((L55/($J$73-L73)&lt;=0),IF((L55&lt;=0),"sofort","nie"),L55/($J$73-L73)))</f>
        <v>14.702702702702704</v>
      </c>
      <c r="M75" s="43">
        <f t="shared" si="86"/>
        <v>15.206896551724139</v>
      </c>
      <c r="N75" s="43">
        <f t="shared" si="86"/>
        <v>17.80952380952381</v>
      </c>
      <c r="O75" s="43">
        <f t="shared" si="86"/>
        <v>6.7391304347826084</v>
      </c>
      <c r="P75" s="43">
        <f t="shared" si="86"/>
        <v>8.536585365853659</v>
      </c>
      <c r="Q75" s="43">
        <f t="shared" si="86"/>
        <v>11.712707182320441</v>
      </c>
      <c r="R75" s="43"/>
      <c r="S75" s="43">
        <f>IF((($R$73-S73)=0),IF((S55&lt;=0),"sofort","nie"),IF((S55/($R$73-S73)&lt;=0),IF((S55&lt;=0),"sofort","nie"),S55/($R$73-S73)))</f>
        <v>19.074074074074073</v>
      </c>
      <c r="T75" s="43">
        <f t="shared" ref="T75:Y75" si="87">IF((($R$73-T73)=0),IF((T55&lt;=0),"sofort","nie"),IF((T55/($R$73-T73)&lt;=0),IF((T55&lt;=0),"sofort","nie"),T55/($R$73-T73)))</f>
        <v>21.287500000000001</v>
      </c>
      <c r="U75" s="43">
        <f t="shared" si="87"/>
        <v>20.5</v>
      </c>
      <c r="V75" s="43">
        <f t="shared" si="87"/>
        <v>24.516949152542374</v>
      </c>
      <c r="W75" s="43">
        <f t="shared" si="87"/>
        <v>13.376623376623376</v>
      </c>
      <c r="X75" s="43">
        <f t="shared" si="87"/>
        <v>14.563106796116505</v>
      </c>
      <c r="Y75" s="43">
        <f t="shared" si="87"/>
        <v>19.473684210526315</v>
      </c>
    </row>
    <row r="76" spans="1:25" x14ac:dyDescent="0.2">
      <c r="A76" s="28" t="s">
        <v>17</v>
      </c>
      <c r="B76" s="44">
        <f>ROUND((10.6*B22*$I$6+B65*$I$8)/1000,1)</f>
        <v>10.5</v>
      </c>
      <c r="C76" s="44">
        <v>7.5</v>
      </c>
      <c r="D76" s="44">
        <v>2.6</v>
      </c>
      <c r="E76" s="44">
        <v>0.6</v>
      </c>
      <c r="F76" s="44">
        <v>0.8</v>
      </c>
      <c r="G76" s="44">
        <v>2.9</v>
      </c>
      <c r="H76" s="44">
        <v>0.9</v>
      </c>
      <c r="I76" s="44">
        <v>1.1000000000000001</v>
      </c>
      <c r="J76" s="44">
        <v>5.3</v>
      </c>
      <c r="K76" s="44">
        <v>3.5</v>
      </c>
      <c r="L76" s="44">
        <v>1.8</v>
      </c>
      <c r="M76" s="44">
        <v>0.3</v>
      </c>
      <c r="N76" s="44">
        <v>0.4</v>
      </c>
      <c r="O76" s="44">
        <v>2</v>
      </c>
      <c r="P76" s="44">
        <v>0.5</v>
      </c>
      <c r="Q76" s="44">
        <v>0.6</v>
      </c>
      <c r="R76" s="44">
        <v>3</v>
      </c>
      <c r="S76" s="44">
        <v>1.2</v>
      </c>
      <c r="T76" s="44">
        <v>0.8</v>
      </c>
      <c r="U76" s="44">
        <v>-0.7</v>
      </c>
      <c r="V76" s="44">
        <v>-0.6</v>
      </c>
      <c r="W76" s="44">
        <v>0.9</v>
      </c>
      <c r="X76" s="44">
        <v>-0.6</v>
      </c>
      <c r="Y76" s="44">
        <v>-0.5</v>
      </c>
    </row>
    <row r="77" spans="1:25" x14ac:dyDescent="0.2">
      <c r="A77" s="28" t="s">
        <v>3</v>
      </c>
      <c r="B77" s="45">
        <f>($B$68-$B$65-B68+B65-B67)/($B$68-$B$65)</f>
        <v>0</v>
      </c>
      <c r="C77" s="114">
        <f t="shared" ref="C77:I77" si="88">($B$68-$B$65-C68+C65-C67)/($B$68-$B$65)</f>
        <v>0.1520754716981132</v>
      </c>
      <c r="D77" s="114">
        <f t="shared" si="88"/>
        <v>0.85509433962264147</v>
      </c>
      <c r="E77" s="114">
        <f t="shared" si="88"/>
        <v>0.85773584905660383</v>
      </c>
      <c r="F77" s="114">
        <f t="shared" si="88"/>
        <v>0.87547169811320757</v>
      </c>
      <c r="G77" s="114">
        <f t="shared" si="88"/>
        <v>0.83698113207547165</v>
      </c>
      <c r="H77" s="114">
        <f t="shared" si="88"/>
        <v>0.84</v>
      </c>
      <c r="I77" s="114">
        <f t="shared" si="88"/>
        <v>0.86</v>
      </c>
      <c r="J77" s="45">
        <f>($J$68-$J$65-J68+J65-J67)/($J$68-$J$65)</f>
        <v>0</v>
      </c>
      <c r="K77" s="114">
        <f t="shared" ref="K77:Q77" si="89">($J$68-$J$65-K68+K65-K67)/($J$68-$J$65)</f>
        <v>0.20799999999999999</v>
      </c>
      <c r="L77" s="114">
        <f t="shared" si="89"/>
        <v>0.82466666666666666</v>
      </c>
      <c r="M77" s="114">
        <f t="shared" si="89"/>
        <v>0.82799999999999996</v>
      </c>
      <c r="N77" s="114">
        <f t="shared" si="89"/>
        <v>0.84933333333333338</v>
      </c>
      <c r="O77" s="114">
        <f t="shared" si="89"/>
        <v>0.80200000000000005</v>
      </c>
      <c r="P77" s="114">
        <f t="shared" si="89"/>
        <v>0.80600000000000005</v>
      </c>
      <c r="Q77" s="114">
        <f t="shared" si="89"/>
        <v>0.83</v>
      </c>
      <c r="R77" s="183">
        <f>($R$68-$R$65-R68+R65-R67)/($R$68-$R$65)</f>
        <v>0</v>
      </c>
      <c r="S77" s="114">
        <f t="shared" ref="S77:Y77" si="90">($R$68-$R$65-S68+S65-S67)/($R$68-$R$65)</f>
        <v>0.56727272727272726</v>
      </c>
      <c r="T77" s="114">
        <f t="shared" si="90"/>
        <v>0.81818181818181823</v>
      </c>
      <c r="U77" s="114">
        <f t="shared" si="90"/>
        <v>0.82181818181818178</v>
      </c>
      <c r="V77" s="114">
        <f t="shared" si="90"/>
        <v>0.84363636363636363</v>
      </c>
      <c r="W77" s="114">
        <f t="shared" si="90"/>
        <v>0.79454545454545455</v>
      </c>
      <c r="X77" s="114">
        <f t="shared" si="90"/>
        <v>0.79818181818181821</v>
      </c>
      <c r="Y77" s="114">
        <f t="shared" si="90"/>
        <v>0.82363636363636361</v>
      </c>
    </row>
    <row r="78" spans="1:25" x14ac:dyDescent="0.2">
      <c r="A78" s="28" t="s">
        <v>4</v>
      </c>
      <c r="B78" s="45">
        <v>0</v>
      </c>
      <c r="C78" s="114">
        <v>0.28800000000000003</v>
      </c>
      <c r="D78" s="114">
        <v>0.28800000000000003</v>
      </c>
      <c r="E78" s="114">
        <v>0.34</v>
      </c>
      <c r="F78" s="114">
        <v>0.67</v>
      </c>
      <c r="G78" s="114">
        <v>0.28800000000000003</v>
      </c>
      <c r="H78" s="114">
        <v>0.34</v>
      </c>
      <c r="I78" s="114">
        <v>0.67</v>
      </c>
      <c r="J78" s="45">
        <v>0</v>
      </c>
      <c r="K78" s="114">
        <v>0.28699999999999998</v>
      </c>
      <c r="L78" s="114">
        <v>0.28699999999999998</v>
      </c>
      <c r="M78" s="114">
        <v>0.34</v>
      </c>
      <c r="N78" s="114">
        <v>0.67</v>
      </c>
      <c r="O78" s="114">
        <v>0.28699999999999998</v>
      </c>
      <c r="P78" s="114">
        <v>0.34</v>
      </c>
      <c r="Q78" s="114">
        <v>0.67</v>
      </c>
      <c r="R78" s="45">
        <v>0</v>
      </c>
      <c r="S78" s="114">
        <v>0.28699999999999998</v>
      </c>
      <c r="T78" s="114">
        <v>0.28699999999999998</v>
      </c>
      <c r="U78" s="114">
        <v>0.34</v>
      </c>
      <c r="V78" s="114">
        <v>0.67</v>
      </c>
      <c r="W78" s="114">
        <v>0.28699999999999998</v>
      </c>
      <c r="X78" s="114">
        <v>0.34</v>
      </c>
      <c r="Y78" s="114">
        <v>0.67</v>
      </c>
    </row>
    <row r="79" spans="1:25" x14ac:dyDescent="0.2">
      <c r="A79" s="28" t="s">
        <v>128</v>
      </c>
      <c r="B79" s="183">
        <f>($B$68-B68)/$B$68</f>
        <v>0</v>
      </c>
      <c r="C79" s="195">
        <f t="shared" ref="C79:I79" si="91">($B$68-C68)/$B$68</f>
        <v>0.24262295081967214</v>
      </c>
      <c r="D79" s="195">
        <f t="shared" si="91"/>
        <v>0.84754098360655739</v>
      </c>
      <c r="E79" s="195">
        <f t="shared" si="91"/>
        <v>0.96557377049180326</v>
      </c>
      <c r="F79" s="195">
        <f t="shared" si="91"/>
        <v>0.95475409836065572</v>
      </c>
      <c r="G79" s="195">
        <f t="shared" si="91"/>
        <v>0.83016393442622949</v>
      </c>
      <c r="H79" s="195">
        <f t="shared" si="91"/>
        <v>0.94819672131147537</v>
      </c>
      <c r="I79" s="195">
        <f t="shared" si="91"/>
        <v>0.93737704918032783</v>
      </c>
      <c r="J79" s="195">
        <f>($J$68-J68)/$J$68</f>
        <v>0</v>
      </c>
      <c r="K79" s="195">
        <f t="shared" ref="K79:Q79" si="92">($J$68-K68)/$J$68</f>
        <v>0.30388888888888888</v>
      </c>
      <c r="L79" s="195">
        <f t="shared" si="92"/>
        <v>0.82166666666666666</v>
      </c>
      <c r="M79" s="195">
        <f t="shared" si="92"/>
        <v>0.97166666666666668</v>
      </c>
      <c r="N79" s="195">
        <f t="shared" si="92"/>
        <v>0.95777777777777773</v>
      </c>
      <c r="O79" s="195">
        <f t="shared" si="92"/>
        <v>0.80111111111111111</v>
      </c>
      <c r="P79" s="195">
        <f t="shared" si="92"/>
        <v>0.95111111111111113</v>
      </c>
      <c r="Q79" s="195">
        <f t="shared" si="92"/>
        <v>0.93722222222222218</v>
      </c>
      <c r="R79" s="183">
        <f>($R$68-R68)/$R$68</f>
        <v>0</v>
      </c>
      <c r="S79" s="195">
        <f t="shared" ref="S79:Y79" si="93">($R$68-S68)/$R$68</f>
        <v>0.64352941176470591</v>
      </c>
      <c r="T79" s="195">
        <f t="shared" si="93"/>
        <v>0.83411764705882352</v>
      </c>
      <c r="U79" s="195">
        <f t="shared" si="93"/>
        <v>1.151764705882353</v>
      </c>
      <c r="V79" s="195">
        <f t="shared" si="93"/>
        <v>1.1223529411764706</v>
      </c>
      <c r="W79" s="195">
        <f t="shared" si="93"/>
        <v>0.81764705882352939</v>
      </c>
      <c r="X79" s="195">
        <f t="shared" si="93"/>
        <v>1.1352941176470588</v>
      </c>
      <c r="Y79" s="195">
        <f t="shared" si="93"/>
        <v>1.1058823529411765</v>
      </c>
    </row>
    <row r="80" spans="1:25" x14ac:dyDescent="0.2">
      <c r="A80" s="187" t="s">
        <v>260</v>
      </c>
      <c r="B80" s="127">
        <f>B68/B24</f>
        <v>254.16666666666666</v>
      </c>
      <c r="C80" s="127">
        <f t="shared" ref="C80:Y80" si="94">C68/C24</f>
        <v>192.5</v>
      </c>
      <c r="D80" s="127">
        <f t="shared" si="94"/>
        <v>38.75</v>
      </c>
      <c r="E80" s="127">
        <f t="shared" si="94"/>
        <v>8.75</v>
      </c>
      <c r="F80" s="127">
        <f t="shared" si="94"/>
        <v>11.5</v>
      </c>
      <c r="G80" s="127">
        <f t="shared" si="94"/>
        <v>43.166666666666664</v>
      </c>
      <c r="H80" s="127">
        <f t="shared" si="94"/>
        <v>13.166666666666666</v>
      </c>
      <c r="I80" s="127">
        <f t="shared" si="94"/>
        <v>15.916666666666666</v>
      </c>
      <c r="J80" s="127">
        <f t="shared" si="94"/>
        <v>128.57142857142858</v>
      </c>
      <c r="K80" s="127">
        <f t="shared" si="94"/>
        <v>89.5</v>
      </c>
      <c r="L80" s="127">
        <f t="shared" si="94"/>
        <v>22.928571428571427</v>
      </c>
      <c r="M80" s="127">
        <f t="shared" si="94"/>
        <v>3.6428571428571428</v>
      </c>
      <c r="N80" s="127">
        <f t="shared" si="94"/>
        <v>5.4285714285714288</v>
      </c>
      <c r="O80" s="127">
        <f t="shared" si="94"/>
        <v>25.571428571428573</v>
      </c>
      <c r="P80" s="127">
        <f t="shared" si="94"/>
        <v>6.2857142857142856</v>
      </c>
      <c r="Q80" s="127">
        <f t="shared" si="94"/>
        <v>8.0714285714285712</v>
      </c>
      <c r="R80" s="127">
        <f t="shared" si="94"/>
        <v>70.833333333333329</v>
      </c>
      <c r="S80" s="127">
        <f t="shared" si="94"/>
        <v>25.25</v>
      </c>
      <c r="T80" s="127">
        <f t="shared" si="94"/>
        <v>11.75</v>
      </c>
      <c r="U80" s="127">
        <f t="shared" si="94"/>
        <v>-10.75</v>
      </c>
      <c r="V80" s="127">
        <f t="shared" si="94"/>
        <v>-8.6666666666666661</v>
      </c>
      <c r="W80" s="127">
        <f t="shared" si="94"/>
        <v>12.916666666666666</v>
      </c>
      <c r="X80" s="127">
        <f t="shared" si="94"/>
        <v>-9.5833333333333339</v>
      </c>
      <c r="Y80" s="127">
        <f t="shared" si="94"/>
        <v>-7.5</v>
      </c>
    </row>
    <row r="81" spans="2:25" x14ac:dyDescent="0.2">
      <c r="D81" s="6"/>
      <c r="E81" s="6"/>
      <c r="I81" s="3"/>
    </row>
    <row r="82" spans="2:25" x14ac:dyDescent="0.2">
      <c r="B82" s="57"/>
      <c r="C82" s="48" t="s">
        <v>46</v>
      </c>
      <c r="D82" s="48"/>
      <c r="E82" s="48"/>
      <c r="F82" s="58"/>
      <c r="G82" s="59" t="s">
        <v>47</v>
      </c>
      <c r="H82" s="48"/>
      <c r="I82" s="49"/>
    </row>
    <row r="83" spans="2:25" x14ac:dyDescent="0.2">
      <c r="B83" s="60"/>
      <c r="C83" t="s">
        <v>48</v>
      </c>
      <c r="F83" s="61"/>
      <c r="G83" s="51" t="s">
        <v>70</v>
      </c>
      <c r="I83" s="52"/>
    </row>
    <row r="84" spans="2:25" x14ac:dyDescent="0.2">
      <c r="B84" s="62"/>
      <c r="C84" t="s">
        <v>50</v>
      </c>
      <c r="F84" s="63"/>
      <c r="G84" t="s">
        <v>51</v>
      </c>
      <c r="I84" s="52"/>
    </row>
    <row r="85" spans="2:25" x14ac:dyDescent="0.2">
      <c r="B85" s="64"/>
      <c r="C85" s="55" t="s">
        <v>52</v>
      </c>
      <c r="D85" s="55"/>
      <c r="E85" s="55"/>
      <c r="F85" s="55"/>
      <c r="G85" s="55"/>
      <c r="H85" s="55"/>
      <c r="I85" s="56"/>
    </row>
    <row r="87" spans="2:25" x14ac:dyDescent="0.2">
      <c r="B87" s="46"/>
      <c r="C87" s="47" t="s">
        <v>55</v>
      </c>
      <c r="D87" s="48"/>
      <c r="E87" s="48"/>
      <c r="F87" s="49"/>
    </row>
    <row r="88" spans="2:25" x14ac:dyDescent="0.2">
      <c r="B88" s="50" t="s">
        <v>56</v>
      </c>
      <c r="C88" s="51" t="s">
        <v>58</v>
      </c>
      <c r="F88" s="52"/>
    </row>
    <row r="89" spans="2:25" x14ac:dyDescent="0.2">
      <c r="B89" s="53" t="s">
        <v>57</v>
      </c>
      <c r="C89" s="54" t="s">
        <v>59</v>
      </c>
      <c r="D89" s="55"/>
      <c r="E89" s="55"/>
      <c r="F89" s="56"/>
    </row>
    <row r="91" spans="2:25" x14ac:dyDescent="0.2">
      <c r="B91" t="s">
        <v>261</v>
      </c>
    </row>
    <row r="92" spans="2:25" x14ac:dyDescent="0.2">
      <c r="G92" s="183"/>
      <c r="H92" s="183"/>
      <c r="I92" s="183"/>
    </row>
    <row r="93" spans="2:25" x14ac:dyDescent="0.2">
      <c r="B93" s="189" t="s">
        <v>262</v>
      </c>
      <c r="C93" s="190" t="s">
        <v>262</v>
      </c>
      <c r="D93" s="191" t="s">
        <v>263</v>
      </c>
      <c r="E93" s="192" t="s">
        <v>263</v>
      </c>
      <c r="F93" s="193" t="s">
        <v>264</v>
      </c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2:25" x14ac:dyDescent="0.2">
      <c r="B94" s="186"/>
      <c r="C94" s="190" t="s">
        <v>265</v>
      </c>
      <c r="D94" s="191"/>
      <c r="E94" s="192" t="s">
        <v>266</v>
      </c>
      <c r="F94" s="188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2:25" x14ac:dyDescent="0.2"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</sheetData>
  <sheetProtection algorithmName="SHA-512" hashValue="iGawMzAS+px/msLGld53xYPFZn1CIdp9bZ3Nhae88Zqb0uWmaJd6G1ptlObsofGJ9Fs9L6kV0+Ki0zBbQdEdOQ==" saltValue="aPdOoh2skJDZKsJKSA4LXw==" spinCount="100000" sheet="1" objects="1" scenarios="1" selectLockedCells="1" selectUnlockedCells="1"/>
  <phoneticPr fontId="0" type="noConversion"/>
  <conditionalFormatting sqref="B75">
    <cfRule type="expression" dxfId="53" priority="188" stopIfTrue="1">
      <formula>OR(IF(B$55&gt;0,B$75&lt;=10,B$75&gt;30),B$75&lt;0)</formula>
    </cfRule>
    <cfRule type="expression" dxfId="52" priority="189" stopIfTrue="1">
      <formula>B$55&lt;0</formula>
    </cfRule>
  </conditionalFormatting>
  <conditionalFormatting sqref="B76 J76 R76">
    <cfRule type="cellIs" dxfId="51" priority="46" stopIfTrue="1" operator="greaterThan">
      <formula>$B$76</formula>
    </cfRule>
    <cfRule type="cellIs" dxfId="50" priority="49" stopIfTrue="1" operator="lessThanOrEqual">
      <formula>2</formula>
    </cfRule>
  </conditionalFormatting>
  <conditionalFormatting sqref="B77:Q77 S77:Y77 C79:Q79 S79:Y79">
    <cfRule type="cellIs" dxfId="49" priority="26" stopIfTrue="1" operator="greaterThanOrEqual">
      <formula>0.5</formula>
    </cfRule>
  </conditionalFormatting>
  <conditionalFormatting sqref="B55:Y55">
    <cfRule type="cellIs" dxfId="48" priority="39" operator="lessThan">
      <formula>0</formula>
    </cfRule>
    <cfRule type="cellIs" dxfId="47" priority="40" stopIfTrue="1" operator="lessThanOrEqual">
      <formula>5000</formula>
    </cfRule>
  </conditionalFormatting>
  <conditionalFormatting sqref="B73:Y73">
    <cfRule type="cellIs" dxfId="46" priority="41" operator="greaterThan">
      <formula>$B$73</formula>
    </cfRule>
    <cfRule type="cellIs" dxfId="45" priority="58" stopIfTrue="1" operator="lessThanOrEqual">
      <formula>1500</formula>
    </cfRule>
  </conditionalFormatting>
  <conditionalFormatting sqref="B74:Y74">
    <cfRule type="cellIs" dxfId="44" priority="31" stopIfTrue="1" operator="greaterThanOrEqual">
      <formula>5000</formula>
    </cfRule>
  </conditionalFormatting>
  <conditionalFormatting sqref="B78:Y78">
    <cfRule type="cellIs" dxfId="43" priority="44" stopIfTrue="1" operator="greaterThanOrEqual">
      <formula>0.5</formula>
    </cfRule>
  </conditionalFormatting>
  <conditionalFormatting sqref="B80:Y80">
    <cfRule type="cellIs" dxfId="42" priority="1" operator="greaterThan">
      <formula>220</formula>
    </cfRule>
    <cfRule type="cellIs" dxfId="41" priority="2" operator="between">
      <formula>180</formula>
      <formula>220</formula>
    </cfRule>
    <cfRule type="cellIs" dxfId="40" priority="3" operator="between">
      <formula>100</formula>
      <formula>180</formula>
    </cfRule>
    <cfRule type="cellIs" dxfId="39" priority="4" operator="between">
      <formula>80</formula>
      <formula>100</formula>
    </cfRule>
    <cfRule type="cellIs" dxfId="38" priority="5" operator="lessThan">
      <formula>80</formula>
    </cfRule>
  </conditionalFormatting>
  <conditionalFormatting sqref="C75:I75 K75:Q75 S75:Y75">
    <cfRule type="expression" dxfId="37" priority="194">
      <formula>OR(IF(C$54&gt;0,C$75&lt;=10,C$75&gt;30),C$75="sofort")</formula>
    </cfRule>
    <cfRule type="expression" dxfId="36" priority="195" stopIfTrue="1">
      <formula>C$55&lt;0</formula>
    </cfRule>
  </conditionalFormatting>
  <conditionalFormatting sqref="C76:I76 K76:Q76">
    <cfRule type="cellIs" dxfId="35" priority="27" operator="lessThanOrEqual">
      <formula>2</formula>
    </cfRule>
    <cfRule type="cellIs" dxfId="34" priority="28" operator="greaterThan">
      <formula>$B$76</formula>
    </cfRule>
  </conditionalFormatting>
  <conditionalFormatting sqref="J75">
    <cfRule type="expression" dxfId="33" priority="202">
      <formula>OR(IF(J$55&gt;0,J$75&lt;=10,J$75&gt;30),J$77="sofort")</formula>
    </cfRule>
    <cfRule type="expression" dxfId="32" priority="203" stopIfTrue="1">
      <formula>J$55&lt;0</formula>
    </cfRule>
  </conditionalFormatting>
  <conditionalFormatting sqref="S76:Y76">
    <cfRule type="cellIs" dxfId="31" priority="6" operator="lessThanOrEqual">
      <formula>2</formula>
    </cfRule>
    <cfRule type="cellIs" dxfId="30" priority="7" operator="greaterThan">
      <formula>$B$76</formula>
    </cfRule>
  </conditionalFormatting>
  <pageMargins left="0.39370078740157483" right="0.39370078740157483" top="0.98425196850393704" bottom="0.98425196850393704" header="0.51181102362204722" footer="0.51181102362204722"/>
  <pageSetup paperSize="9" scale="40" fitToWidth="2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L112"/>
  <sheetViews>
    <sheetView showGridLines="0" zoomScale="90" zoomScaleNormal="90" workbookViewId="0">
      <pane xSplit="1" topLeftCell="B1" activePane="topRight" state="frozen"/>
      <selection pane="topRight" activeCell="B6" sqref="B6"/>
    </sheetView>
  </sheetViews>
  <sheetFormatPr baseColWidth="10" defaultRowHeight="12.75" x14ac:dyDescent="0.2"/>
  <cols>
    <col min="1" max="1" width="36.140625" customWidth="1"/>
    <col min="2" max="12" width="17.7109375" customWidth="1"/>
  </cols>
  <sheetData>
    <row r="1" spans="1:38" s="2" customFormat="1" ht="23.25" x14ac:dyDescent="0.35">
      <c r="A1" s="7" t="s">
        <v>213</v>
      </c>
      <c r="B1" s="2" t="s">
        <v>214</v>
      </c>
    </row>
    <row r="2" spans="1:38" s="2" customFormat="1" ht="23.25" x14ac:dyDescent="0.35">
      <c r="A2" s="7"/>
      <c r="B2" s="65" t="s">
        <v>255</v>
      </c>
    </row>
    <row r="3" spans="1:38" s="2" customFormat="1" ht="23.25" x14ac:dyDescent="0.35">
      <c r="A3" s="7"/>
      <c r="B3" s="51" t="s">
        <v>251</v>
      </c>
      <c r="C3"/>
      <c r="D3"/>
      <c r="E3"/>
      <c r="F3"/>
    </row>
    <row r="4" spans="1:38" s="2" customFormat="1" ht="24.95" customHeight="1" x14ac:dyDescent="0.35">
      <c r="A4" s="7"/>
      <c r="B4" s="94" t="s">
        <v>254</v>
      </c>
      <c r="C4" s="95"/>
      <c r="D4" s="95"/>
      <c r="E4" s="95"/>
      <c r="F4" s="95"/>
      <c r="M4" s="100"/>
      <c r="N4" s="100"/>
    </row>
    <row r="5" spans="1:38" ht="12.75" customHeight="1" x14ac:dyDescent="0.2">
      <c r="A5" s="10"/>
      <c r="B5" s="11"/>
      <c r="C5" s="11"/>
      <c r="D5" s="11"/>
      <c r="E5" s="11"/>
      <c r="F5" s="11"/>
      <c r="G5" s="11"/>
      <c r="H5" s="74" t="s">
        <v>34</v>
      </c>
      <c r="I5" s="71"/>
      <c r="J5" s="11"/>
      <c r="K5" s="11"/>
      <c r="L5" s="11"/>
      <c r="M5" s="11"/>
      <c r="N5" s="12"/>
      <c r="O5" s="81"/>
      <c r="P5" s="81"/>
    </row>
    <row r="6" spans="1:38" x14ac:dyDescent="0.2">
      <c r="A6" s="17" t="s">
        <v>53</v>
      </c>
      <c r="B6" s="67">
        <v>2500</v>
      </c>
      <c r="C6" s="68" t="s">
        <v>54</v>
      </c>
      <c r="D6" s="69" t="str">
        <f>IF(OR((B6&lt;0),(B6&gt;100000)),"Wert prüfen","gültiger Wert")</f>
        <v>gültiger Wert</v>
      </c>
      <c r="E6" s="9"/>
      <c r="F6" s="9"/>
      <c r="G6" s="9"/>
      <c r="H6" s="76">
        <v>2500</v>
      </c>
      <c r="I6" s="71" t="s">
        <v>54</v>
      </c>
      <c r="J6" s="9"/>
      <c r="K6" s="9"/>
      <c r="L6" s="9"/>
      <c r="M6" s="9"/>
      <c r="N6" s="14"/>
      <c r="O6" s="81"/>
      <c r="P6" s="81"/>
    </row>
    <row r="7" spans="1:38" x14ac:dyDescent="0.2">
      <c r="A7" s="17" t="s">
        <v>71</v>
      </c>
      <c r="B7" s="67">
        <v>0</v>
      </c>
      <c r="C7" s="68" t="s">
        <v>68</v>
      </c>
      <c r="D7" s="69" t="str">
        <f>IF(OR((B7&lt;0),(B7&gt;1000000)),"Wert prüfen","gültiger Wert")</f>
        <v>gültiger Wert</v>
      </c>
      <c r="E7" s="9"/>
      <c r="F7" s="9"/>
      <c r="G7" s="9"/>
      <c r="H7" s="76">
        <v>0</v>
      </c>
      <c r="I7" s="71" t="s">
        <v>68</v>
      </c>
      <c r="J7" s="9"/>
      <c r="K7" s="9"/>
      <c r="L7" s="9"/>
      <c r="M7" s="9"/>
      <c r="N7" s="14"/>
      <c r="O7" s="81"/>
      <c r="P7" s="81"/>
    </row>
    <row r="8" spans="1:38" x14ac:dyDescent="0.2">
      <c r="A8" s="17" t="s">
        <v>74</v>
      </c>
      <c r="B8" s="67">
        <v>0</v>
      </c>
      <c r="C8" s="68" t="s">
        <v>77</v>
      </c>
      <c r="D8" s="69" t="str">
        <f>IF(OR((B8&lt;0),(B8&gt;100000)),"Wert prüfen","gültiger Wert")</f>
        <v>gültiger Wert</v>
      </c>
      <c r="E8" s="9"/>
      <c r="F8" s="9"/>
      <c r="G8" s="9"/>
      <c r="H8" s="76">
        <v>0</v>
      </c>
      <c r="I8" s="71" t="s">
        <v>68</v>
      </c>
      <c r="J8" s="9"/>
      <c r="K8" s="9"/>
      <c r="L8" s="9"/>
      <c r="M8" s="9"/>
      <c r="N8" s="14"/>
      <c r="O8" s="81"/>
      <c r="P8" s="81"/>
    </row>
    <row r="9" spans="1:38" x14ac:dyDescent="0.2">
      <c r="A9" s="17" t="s">
        <v>75</v>
      </c>
      <c r="B9" s="67">
        <v>0</v>
      </c>
      <c r="C9" s="68" t="s">
        <v>78</v>
      </c>
      <c r="D9" s="69" t="str">
        <f>IF(OR((B9&lt;0),(B9&gt;100000)),"Wert prüfen","gültiger Wert")</f>
        <v>gültiger Wert</v>
      </c>
      <c r="E9" s="9"/>
      <c r="F9" s="9"/>
      <c r="G9" s="9"/>
      <c r="H9" s="76">
        <v>0</v>
      </c>
      <c r="I9" s="71" t="s">
        <v>68</v>
      </c>
      <c r="J9" s="9"/>
      <c r="K9" s="9"/>
      <c r="L9" s="9"/>
      <c r="M9" s="9"/>
      <c r="N9" s="14"/>
      <c r="O9" s="81"/>
      <c r="P9" s="81"/>
    </row>
    <row r="10" spans="1:38" x14ac:dyDescent="0.2">
      <c r="A10" s="17" t="s">
        <v>76</v>
      </c>
      <c r="B10" s="67">
        <v>0</v>
      </c>
      <c r="C10" s="68" t="s">
        <v>68</v>
      </c>
      <c r="D10" s="69" t="str">
        <f>IF(OR((B10&lt;0),(B10&gt;1000000)),"Wert prüfen","gültiger Wert")</f>
        <v>gültiger Wert</v>
      </c>
      <c r="E10" s="9"/>
      <c r="F10" s="9"/>
      <c r="G10" s="9"/>
      <c r="H10" s="76">
        <v>0</v>
      </c>
      <c r="I10" s="71" t="s">
        <v>68</v>
      </c>
      <c r="J10" s="9"/>
      <c r="K10" s="9"/>
      <c r="L10" s="9"/>
      <c r="M10" s="9"/>
      <c r="N10" s="14"/>
      <c r="O10" s="81"/>
      <c r="P10" s="81"/>
    </row>
    <row r="11" spans="1:38" x14ac:dyDescent="0.2">
      <c r="A11" s="17" t="s">
        <v>72</v>
      </c>
      <c r="B11" s="67">
        <v>4600</v>
      </c>
      <c r="C11" s="68" t="s">
        <v>68</v>
      </c>
      <c r="D11" s="69" t="str">
        <f>IF(OR((B11&lt;0),(B11&gt;100000)),"Wert prüfen","gültiger Wert")</f>
        <v>gültiger Wert</v>
      </c>
      <c r="E11" s="9"/>
      <c r="F11" s="9"/>
      <c r="G11" s="9"/>
      <c r="H11" s="76">
        <v>4600</v>
      </c>
      <c r="I11" s="71" t="s">
        <v>68</v>
      </c>
      <c r="J11" s="17" t="s">
        <v>29</v>
      </c>
      <c r="K11" s="18"/>
      <c r="L11" s="19"/>
      <c r="M11" s="74" t="s">
        <v>34</v>
      </c>
      <c r="N11" s="71"/>
      <c r="O11" s="81"/>
      <c r="P11" s="81"/>
    </row>
    <row r="12" spans="1:38" x14ac:dyDescent="0.2">
      <c r="A12" s="17" t="s">
        <v>73</v>
      </c>
      <c r="B12" s="67">
        <v>3000</v>
      </c>
      <c r="C12" s="68" t="s">
        <v>68</v>
      </c>
      <c r="D12" s="69" t="str">
        <f>IF(OR((B12&lt;0),(B12&gt;100000)),"Wert prüfen","gültiger Wert")</f>
        <v>gültiger Wert</v>
      </c>
      <c r="E12" s="9"/>
      <c r="F12" s="9"/>
      <c r="G12" s="9"/>
      <c r="H12" s="76">
        <v>3000</v>
      </c>
      <c r="I12" s="71" t="s">
        <v>68</v>
      </c>
      <c r="J12" s="20" t="s">
        <v>40</v>
      </c>
      <c r="K12" s="73">
        <v>0.31</v>
      </c>
      <c r="L12" s="19" t="s">
        <v>33</v>
      </c>
      <c r="M12" s="98">
        <v>0.31</v>
      </c>
      <c r="N12" s="71" t="s">
        <v>33</v>
      </c>
      <c r="O12" s="81"/>
      <c r="P12" s="81"/>
    </row>
    <row r="13" spans="1:38" x14ac:dyDescent="0.2">
      <c r="A13" s="17" t="s">
        <v>85</v>
      </c>
      <c r="B13" s="70">
        <v>0.8</v>
      </c>
      <c r="C13" s="68"/>
      <c r="D13" s="69" t="str">
        <f>IF(OR((B13&lt;0.5),(B13&gt;1)),"Wert außerhalb","gültiger Wert")</f>
        <v>gültiger Wert</v>
      </c>
      <c r="E13" s="9"/>
      <c r="F13" s="9"/>
      <c r="G13" s="9"/>
      <c r="H13" s="75">
        <v>0.8</v>
      </c>
      <c r="I13" s="71"/>
      <c r="J13" s="20" t="s">
        <v>30</v>
      </c>
      <c r="K13" s="73">
        <v>0.24</v>
      </c>
      <c r="L13" s="19" t="s">
        <v>33</v>
      </c>
      <c r="M13" s="98">
        <v>0.24</v>
      </c>
      <c r="N13" s="71" t="s">
        <v>33</v>
      </c>
      <c r="O13" s="81"/>
      <c r="P13" s="81"/>
    </row>
    <row r="14" spans="1:38" x14ac:dyDescent="0.2">
      <c r="A14" s="17" t="s">
        <v>39</v>
      </c>
      <c r="B14" s="66">
        <v>1.4</v>
      </c>
      <c r="C14" s="69" t="s">
        <v>86</v>
      </c>
      <c r="D14" s="69" t="str">
        <f>IF(OR((B14&lt;0),(B14&gt;10)),"Wert prüfen","gültiger Wert")</f>
        <v>gültiger Wert</v>
      </c>
      <c r="E14" s="9"/>
      <c r="F14" s="9"/>
      <c r="G14" s="9"/>
      <c r="H14" s="91" t="s">
        <v>81</v>
      </c>
      <c r="I14" s="71"/>
      <c r="J14" s="20" t="s">
        <v>22</v>
      </c>
      <c r="K14" s="73">
        <v>0.56000000000000005</v>
      </c>
      <c r="L14" s="19" t="s">
        <v>33</v>
      </c>
      <c r="M14" s="98">
        <v>0.56000000000000005</v>
      </c>
      <c r="N14" s="71" t="s">
        <v>33</v>
      </c>
      <c r="O14" s="81"/>
      <c r="P14" s="81"/>
    </row>
    <row r="15" spans="1:38" x14ac:dyDescent="0.2">
      <c r="A15" s="17" t="s">
        <v>19</v>
      </c>
      <c r="B15" s="66">
        <v>12</v>
      </c>
      <c r="C15" s="69" t="s">
        <v>21</v>
      </c>
      <c r="D15" s="69" t="str">
        <f>IF(OR((B15&lt;3),(B15&gt;100)),"Wert prüfen","gültiger Wert")</f>
        <v>gültiger Wert</v>
      </c>
      <c r="E15" s="9"/>
      <c r="F15" s="9"/>
      <c r="G15" s="9"/>
      <c r="H15" s="91" t="s">
        <v>82</v>
      </c>
      <c r="I15" s="71"/>
      <c r="J15" s="20" t="s">
        <v>31</v>
      </c>
      <c r="K15" s="73">
        <v>0.02</v>
      </c>
      <c r="L15" s="19" t="s">
        <v>33</v>
      </c>
      <c r="M15" s="98">
        <v>0.02</v>
      </c>
      <c r="N15" s="71" t="s">
        <v>33</v>
      </c>
      <c r="O15" s="81"/>
      <c r="P15" s="81"/>
    </row>
    <row r="16" spans="1:38" x14ac:dyDescent="0.2">
      <c r="A16" s="17" t="s">
        <v>23</v>
      </c>
      <c r="B16" s="67">
        <v>100</v>
      </c>
      <c r="C16" s="69" t="s">
        <v>25</v>
      </c>
      <c r="D16" s="20" t="str">
        <f>IF(OR((B16&lt;10),(B16&gt;1000)),"Wert prüfen","gültiger Wert")</f>
        <v>gültiger Wert</v>
      </c>
      <c r="E16" s="90">
        <v>1880</v>
      </c>
      <c r="F16" s="18" t="s">
        <v>27</v>
      </c>
      <c r="G16" s="105">
        <f>B16/E16*100</f>
        <v>5.3191489361702127</v>
      </c>
      <c r="H16" s="75">
        <v>100</v>
      </c>
      <c r="I16" s="103" t="s">
        <v>25</v>
      </c>
      <c r="J16" s="20" t="s">
        <v>32</v>
      </c>
      <c r="K16" s="73">
        <v>4.1000000000000002E-2</v>
      </c>
      <c r="L16" s="19" t="s">
        <v>33</v>
      </c>
      <c r="M16" s="98">
        <v>4.1000000000000002E-2</v>
      </c>
      <c r="N16" s="71" t="s">
        <v>33</v>
      </c>
      <c r="O16" s="4"/>
      <c r="P16" s="5"/>
      <c r="Q16" s="4"/>
      <c r="R16" s="5"/>
      <c r="S16" s="4"/>
      <c r="T16" s="4"/>
      <c r="AK16" s="81"/>
      <c r="AL16" s="81"/>
    </row>
    <row r="17" spans="1:38" x14ac:dyDescent="0.2">
      <c r="A17" s="17" t="s">
        <v>24</v>
      </c>
      <c r="B17" s="67">
        <v>400</v>
      </c>
      <c r="C17" s="69" t="s">
        <v>26</v>
      </c>
      <c r="D17" s="20" t="str">
        <f>IF(OR((B17&lt;150),(B17&gt;1000)),"Wert prüfen","gültiger Wert")</f>
        <v>gültiger Wert</v>
      </c>
      <c r="E17" s="90">
        <v>5400</v>
      </c>
      <c r="F17" s="104" t="s">
        <v>28</v>
      </c>
      <c r="G17" s="105">
        <f>B17/E17*100</f>
        <v>7.4074074074074066</v>
      </c>
      <c r="H17" s="75">
        <v>400</v>
      </c>
      <c r="I17" s="103" t="s">
        <v>26</v>
      </c>
      <c r="J17" s="10"/>
      <c r="K17" s="9"/>
      <c r="L17" s="9"/>
      <c r="M17" s="96"/>
      <c r="N17" s="97"/>
      <c r="O17" s="4"/>
      <c r="P17" s="5"/>
      <c r="Q17" s="4"/>
      <c r="R17" s="5"/>
      <c r="S17" s="4"/>
      <c r="T17" s="4"/>
      <c r="AK17" s="81"/>
      <c r="AL17" s="81"/>
    </row>
    <row r="18" spans="1:38" x14ac:dyDescent="0.2">
      <c r="A18" s="17" t="s">
        <v>20</v>
      </c>
      <c r="B18" s="66">
        <v>40</v>
      </c>
      <c r="C18" s="69" t="s">
        <v>21</v>
      </c>
      <c r="D18" s="69" t="str">
        <f>IF(OR((B18&lt;10),(B18&gt;200)),"Wert prüfen","gültiger Wert")</f>
        <v>gültiger Wert</v>
      </c>
      <c r="E18" s="9"/>
      <c r="F18" s="9"/>
      <c r="G18" s="9"/>
      <c r="H18" s="91" t="s">
        <v>83</v>
      </c>
      <c r="I18" s="71"/>
      <c r="J18" s="9"/>
      <c r="K18" s="9"/>
      <c r="L18" s="9"/>
      <c r="M18" s="96"/>
      <c r="N18" s="97"/>
      <c r="O18" s="81"/>
      <c r="P18" s="81"/>
    </row>
    <row r="19" spans="1:38" x14ac:dyDescent="0.2">
      <c r="A19" s="17" t="s">
        <v>79</v>
      </c>
      <c r="B19" s="66">
        <v>28</v>
      </c>
      <c r="C19" s="69" t="s">
        <v>21</v>
      </c>
      <c r="D19" s="69" t="str">
        <f>IF(OR((B19&lt;10),(B19&gt;200)),"Wert prüfen","gültiger Wert")</f>
        <v>gültiger Wert</v>
      </c>
      <c r="E19" s="9"/>
      <c r="F19" s="9"/>
      <c r="G19" s="9"/>
      <c r="H19" s="91">
        <v>28</v>
      </c>
      <c r="I19" s="71" t="s">
        <v>162</v>
      </c>
      <c r="J19" s="9"/>
      <c r="K19" s="9"/>
      <c r="L19" s="9"/>
      <c r="M19" s="96"/>
      <c r="N19" s="97"/>
      <c r="O19" s="81"/>
      <c r="P19" s="81"/>
    </row>
    <row r="20" spans="1:38" x14ac:dyDescent="0.2">
      <c r="A20" s="17" t="s">
        <v>163</v>
      </c>
      <c r="B20" s="66">
        <v>28</v>
      </c>
      <c r="C20" s="69" t="s">
        <v>21</v>
      </c>
      <c r="D20" s="69" t="str">
        <f>IF(OR((B20&lt;10),(B20&gt;200)),"Wert prüfen","gültiger Wert")</f>
        <v>gültiger Wert</v>
      </c>
      <c r="E20" s="9"/>
      <c r="F20" s="9"/>
      <c r="G20" s="9"/>
      <c r="H20" s="91">
        <v>28</v>
      </c>
      <c r="I20" s="71" t="s">
        <v>162</v>
      </c>
      <c r="J20" s="9"/>
      <c r="K20" s="9"/>
      <c r="L20" s="9"/>
      <c r="M20" s="96"/>
      <c r="N20" s="97"/>
      <c r="O20" s="81"/>
      <c r="P20" s="81"/>
    </row>
    <row r="21" spans="1:38" x14ac:dyDescent="0.2">
      <c r="A21" s="17" t="s">
        <v>215</v>
      </c>
      <c r="B21" s="66">
        <v>8.1999999999999993</v>
      </c>
      <c r="C21" s="69" t="s">
        <v>21</v>
      </c>
      <c r="D21" s="69" t="str">
        <f>IF(OR((B21&lt;0),(B21&gt;100)),"Wert prüfen","gültiger Wert")</f>
        <v>gültiger Wert</v>
      </c>
      <c r="E21" s="9"/>
      <c r="F21" s="9"/>
      <c r="G21" s="9"/>
      <c r="H21" s="91">
        <v>8.1999999999999993</v>
      </c>
      <c r="I21" s="71" t="s">
        <v>162</v>
      </c>
      <c r="J21" s="9"/>
      <c r="K21" s="9"/>
      <c r="L21" s="9"/>
      <c r="M21" s="96"/>
      <c r="N21" s="97"/>
      <c r="O21" s="81"/>
      <c r="P21" s="81"/>
    </row>
    <row r="22" spans="1:38" x14ac:dyDescent="0.2">
      <c r="A22" s="17" t="s">
        <v>216</v>
      </c>
      <c r="B22" s="66">
        <v>7.1</v>
      </c>
      <c r="C22" s="69" t="s">
        <v>21</v>
      </c>
      <c r="D22" s="69" t="str">
        <f>IF(OR((B22&lt;0),(B22&gt;100)),"Wert prüfen","gültiger Wert")</f>
        <v>gültiger Wert</v>
      </c>
      <c r="E22" s="9"/>
      <c r="F22" s="9"/>
      <c r="G22" s="9"/>
      <c r="H22" s="91">
        <v>7.1</v>
      </c>
      <c r="I22" s="71" t="s">
        <v>162</v>
      </c>
      <c r="J22" s="9"/>
      <c r="K22" s="9"/>
      <c r="L22" s="9"/>
      <c r="M22" s="96"/>
      <c r="N22" s="97"/>
      <c r="O22" s="81"/>
      <c r="P22" s="81"/>
    </row>
    <row r="23" spans="1:38" x14ac:dyDescent="0.2">
      <c r="A23" s="17" t="s">
        <v>103</v>
      </c>
      <c r="B23" s="67">
        <v>1000</v>
      </c>
      <c r="C23" s="112" t="s">
        <v>104</v>
      </c>
      <c r="D23" s="69" t="str">
        <f>IF(OR((B23&lt;500),(B23&gt;1500)),"Wert außerhalb","gültiger Wert")</f>
        <v>gültiger Wert</v>
      </c>
      <c r="E23" s="13"/>
      <c r="F23" s="9"/>
      <c r="G23" s="14"/>
      <c r="H23" s="91">
        <v>1000</v>
      </c>
      <c r="I23" s="71" t="s">
        <v>104</v>
      </c>
      <c r="J23" s="13"/>
      <c r="K23" s="9"/>
      <c r="L23" s="9"/>
      <c r="M23" s="9"/>
      <c r="N23" s="14"/>
      <c r="O23" s="81"/>
      <c r="P23" s="81"/>
    </row>
    <row r="24" spans="1:38" x14ac:dyDescent="0.2">
      <c r="A24" s="17" t="s">
        <v>258</v>
      </c>
      <c r="B24" s="67">
        <v>120</v>
      </c>
      <c r="C24" s="112" t="s">
        <v>259</v>
      </c>
      <c r="D24" s="69" t="str">
        <f>IF(OR((B24&lt;10),(B24&gt;1000)),"Wert außerhalb","gültiger Wert")</f>
        <v>gültiger Wert</v>
      </c>
      <c r="E24" s="9"/>
      <c r="F24" s="9"/>
      <c r="G24" s="9"/>
      <c r="H24" s="91">
        <v>120</v>
      </c>
      <c r="I24" s="71" t="s">
        <v>259</v>
      </c>
      <c r="J24" s="13"/>
      <c r="K24" s="9"/>
      <c r="L24" s="9"/>
      <c r="M24" s="9"/>
      <c r="N24" s="14"/>
      <c r="O24" s="81"/>
      <c r="P24" s="81"/>
    </row>
    <row r="25" spans="1:38" x14ac:dyDescent="0.2">
      <c r="A25" s="17" t="s">
        <v>14</v>
      </c>
      <c r="B25" s="67">
        <v>4000</v>
      </c>
      <c r="C25" s="69" t="s">
        <v>15</v>
      </c>
      <c r="D25" s="69" t="str">
        <f>IF(OR((B25&lt;1000),(B25&gt;10000)),"Wert prüfen","gültiger Wert")</f>
        <v>gültiger Wert</v>
      </c>
      <c r="E25" s="9"/>
      <c r="F25" s="9"/>
      <c r="G25" s="9"/>
      <c r="H25" s="76" t="s">
        <v>84</v>
      </c>
      <c r="I25" s="71"/>
      <c r="J25" s="13"/>
      <c r="K25" s="9"/>
      <c r="L25" s="9"/>
      <c r="M25" s="9"/>
      <c r="N25" s="14"/>
      <c r="O25" s="81"/>
      <c r="P25" s="81"/>
    </row>
    <row r="26" spans="1:38" x14ac:dyDescent="0.2">
      <c r="A26" s="108" t="s">
        <v>87</v>
      </c>
      <c r="B26" s="185" t="s">
        <v>88</v>
      </c>
      <c r="C26" s="68" t="s">
        <v>89</v>
      </c>
      <c r="D26" s="69" t="str">
        <f>IF(OR(B26="n",B26="a"),"gültiger Wert","Fehleingabe")</f>
        <v>gültiger Wert</v>
      </c>
      <c r="E26" s="15"/>
      <c r="F26" s="15"/>
      <c r="G26" s="15"/>
      <c r="H26" s="109" t="s">
        <v>88</v>
      </c>
      <c r="I26" s="71"/>
      <c r="J26" s="106"/>
      <c r="K26" s="15"/>
      <c r="L26" s="15"/>
      <c r="M26" s="15"/>
      <c r="N26" s="16"/>
      <c r="O26" s="81"/>
      <c r="P26" s="81"/>
    </row>
    <row r="27" spans="1:38" x14ac:dyDescent="0.2">
      <c r="B27" s="3"/>
      <c r="C27" s="3"/>
      <c r="D27" s="6"/>
      <c r="E27" s="6"/>
      <c r="F27" s="3"/>
      <c r="G27" s="3"/>
      <c r="H27" s="3"/>
      <c r="I27" s="3"/>
      <c r="J27" s="6"/>
      <c r="K27" s="6"/>
      <c r="L27" s="5"/>
      <c r="M27" s="81"/>
      <c r="N27" s="81"/>
    </row>
    <row r="28" spans="1:38" x14ac:dyDescent="0.2">
      <c r="B28" s="3"/>
      <c r="C28" s="3"/>
      <c r="D28" s="6"/>
      <c r="E28" s="6"/>
      <c r="F28" s="3"/>
      <c r="G28" s="3"/>
      <c r="H28" s="3"/>
      <c r="I28" s="3"/>
      <c r="J28" s="6"/>
    </row>
    <row r="29" spans="1:38" x14ac:dyDescent="0.2">
      <c r="A29" s="23" t="s">
        <v>0</v>
      </c>
      <c r="B29" s="24" t="s">
        <v>35</v>
      </c>
      <c r="C29" s="26" t="s">
        <v>231</v>
      </c>
      <c r="D29" s="26" t="s">
        <v>232</v>
      </c>
      <c r="E29" s="26" t="s">
        <v>233</v>
      </c>
      <c r="F29" s="26" t="s">
        <v>234</v>
      </c>
    </row>
    <row r="30" spans="1:38" x14ac:dyDescent="0.2">
      <c r="A30" s="21"/>
      <c r="B30" s="21"/>
      <c r="C30" s="21" t="s">
        <v>156</v>
      </c>
      <c r="D30" s="21" t="s">
        <v>157</v>
      </c>
      <c r="E30" s="21" t="s">
        <v>159</v>
      </c>
      <c r="F30" s="21" t="s">
        <v>160</v>
      </c>
    </row>
    <row r="31" spans="1:38" x14ac:dyDescent="0.2">
      <c r="A31" s="21"/>
      <c r="B31" s="21"/>
      <c r="C31" s="21" t="s">
        <v>91</v>
      </c>
      <c r="D31" s="21" t="s">
        <v>129</v>
      </c>
      <c r="E31" s="21" t="s">
        <v>129</v>
      </c>
      <c r="F31" s="21" t="s">
        <v>161</v>
      </c>
    </row>
    <row r="32" spans="1:38" s="1" customFormat="1" x14ac:dyDescent="0.2">
      <c r="A32" s="21"/>
      <c r="B32" s="21"/>
      <c r="C32" s="21"/>
      <c r="D32" s="21" t="s">
        <v>158</v>
      </c>
      <c r="E32" s="21" t="s">
        <v>158</v>
      </c>
      <c r="F32" s="21" t="s">
        <v>156</v>
      </c>
      <c r="G32"/>
    </row>
    <row r="33" spans="1:6" s="1" customFormat="1" x14ac:dyDescent="0.2">
      <c r="A33" s="21"/>
      <c r="B33" s="21"/>
      <c r="C33" s="21"/>
      <c r="D33" s="21"/>
      <c r="E33" s="21"/>
      <c r="F33" s="21" t="s">
        <v>129</v>
      </c>
    </row>
    <row r="34" spans="1:6" s="1" customFormat="1" x14ac:dyDescent="0.2">
      <c r="A34" s="27"/>
      <c r="B34" s="27"/>
      <c r="C34" s="27"/>
      <c r="D34" s="27"/>
      <c r="E34" s="27"/>
      <c r="F34" s="27" t="s">
        <v>158</v>
      </c>
    </row>
    <row r="35" spans="1:6" s="1" customFormat="1" x14ac:dyDescent="0.2">
      <c r="A35" s="21"/>
      <c r="B35" s="21"/>
      <c r="C35" s="21"/>
      <c r="D35" s="21"/>
      <c r="E35" s="21"/>
      <c r="F35" s="21"/>
    </row>
    <row r="36" spans="1:6" s="1" customFormat="1" x14ac:dyDescent="0.2">
      <c r="A36" s="144" t="s">
        <v>204</v>
      </c>
      <c r="B36" s="144"/>
      <c r="C36" s="146">
        <f>Berechnung!C142</f>
        <v>1</v>
      </c>
      <c r="D36" s="146">
        <f>Berechnung!G142</f>
        <v>10.600000000000001</v>
      </c>
      <c r="E36" s="146">
        <f>D36</f>
        <v>10.600000000000001</v>
      </c>
      <c r="F36" s="146">
        <f>E36</f>
        <v>10.600000000000001</v>
      </c>
    </row>
    <row r="37" spans="1:6" s="1" customFormat="1" x14ac:dyDescent="0.2">
      <c r="A37" s="144" t="s">
        <v>209</v>
      </c>
      <c r="B37" s="144"/>
      <c r="C37" s="146"/>
      <c r="D37" s="143">
        <f>Berechnung!G143</f>
        <v>214</v>
      </c>
      <c r="E37" s="146"/>
      <c r="F37" s="146"/>
    </row>
    <row r="38" spans="1:6" s="1" customFormat="1" x14ac:dyDescent="0.2">
      <c r="A38" s="36" t="s">
        <v>90</v>
      </c>
      <c r="B38" s="38"/>
      <c r="C38" s="110"/>
      <c r="D38" s="111">
        <v>35</v>
      </c>
      <c r="E38" s="111">
        <v>35</v>
      </c>
      <c r="F38" s="111">
        <v>35</v>
      </c>
    </row>
    <row r="39" spans="1:6" s="1" customFormat="1" x14ac:dyDescent="0.2">
      <c r="A39" s="36" t="s">
        <v>202</v>
      </c>
      <c r="B39" s="83"/>
      <c r="C39" s="135">
        <v>3</v>
      </c>
      <c r="D39" s="136">
        <v>4.5</v>
      </c>
      <c r="E39" s="136">
        <v>4</v>
      </c>
      <c r="F39" s="136">
        <v>4</v>
      </c>
    </row>
    <row r="40" spans="1:6" s="1" customFormat="1" x14ac:dyDescent="0.2">
      <c r="A40" s="21"/>
      <c r="B40" s="83"/>
      <c r="C40" s="157"/>
      <c r="D40" s="157"/>
      <c r="E40" s="157"/>
      <c r="F40" s="157"/>
    </row>
    <row r="41" spans="1:6" s="1" customFormat="1" x14ac:dyDescent="0.2">
      <c r="A41" s="82" t="s">
        <v>217</v>
      </c>
      <c r="B41" s="38"/>
      <c r="C41" s="154">
        <v>4</v>
      </c>
      <c r="D41" s="154">
        <v>4</v>
      </c>
      <c r="E41" s="154">
        <v>4</v>
      </c>
      <c r="F41" s="154">
        <v>4</v>
      </c>
    </row>
    <row r="42" spans="1:6" s="1" customFormat="1" x14ac:dyDescent="0.2">
      <c r="A42" s="82" t="s">
        <v>218</v>
      </c>
      <c r="B42" s="83"/>
      <c r="C42" s="155">
        <f>IF(C41&gt;30,"Leistung zu hoch",IF(C41&lt;=10,$B$21,ROUND(100*(10*$B$21+(C41-10)*$B$22)/C41,2)/100))</f>
        <v>8.1999999999999993</v>
      </c>
      <c r="D42" s="155">
        <f t="shared" ref="D42:F42" si="0">IF(D41&gt;30,"Leistung zu hoch",IF(D41&lt;=10,$B$21,ROUND(100*(10*$B$21+(D41-10)*$B$22)/D41,2)/100))</f>
        <v>8.1999999999999993</v>
      </c>
      <c r="E42" s="155">
        <f t="shared" si="0"/>
        <v>8.1999999999999993</v>
      </c>
      <c r="F42" s="155">
        <f t="shared" si="0"/>
        <v>8.1999999999999993</v>
      </c>
    </row>
    <row r="43" spans="1:6" s="1" customFormat="1" x14ac:dyDescent="0.2">
      <c r="A43" s="82" t="s">
        <v>257</v>
      </c>
      <c r="B43" s="83"/>
      <c r="C43" s="156">
        <v>1.1000000000000001</v>
      </c>
      <c r="D43" s="110">
        <f>C43</f>
        <v>1.1000000000000001</v>
      </c>
      <c r="E43" s="110">
        <v>1.1000000000000001</v>
      </c>
      <c r="F43" s="110">
        <v>1.1000000000000001</v>
      </c>
    </row>
    <row r="44" spans="1:6" s="1" customFormat="1" x14ac:dyDescent="0.2">
      <c r="A44" s="82" t="s">
        <v>219</v>
      </c>
      <c r="B44" s="83"/>
      <c r="C44" s="156">
        <v>1</v>
      </c>
      <c r="D44" s="110">
        <f>C44</f>
        <v>1</v>
      </c>
      <c r="E44" s="110">
        <v>1</v>
      </c>
      <c r="F44" s="110">
        <v>1</v>
      </c>
    </row>
    <row r="45" spans="1:6" s="1" customFormat="1" x14ac:dyDescent="0.2">
      <c r="A45" s="82" t="s">
        <v>220</v>
      </c>
      <c r="B45" s="83"/>
      <c r="C45" s="156">
        <v>0.93</v>
      </c>
      <c r="D45" s="110">
        <f>C45</f>
        <v>0.93</v>
      </c>
      <c r="E45" s="110">
        <v>0.93</v>
      </c>
      <c r="F45" s="110">
        <v>0.93</v>
      </c>
    </row>
    <row r="46" spans="1:6" s="1" customFormat="1" x14ac:dyDescent="0.2">
      <c r="A46" s="82" t="s">
        <v>12</v>
      </c>
      <c r="B46" s="83"/>
      <c r="C46" s="159">
        <v>0</v>
      </c>
      <c r="D46" s="159">
        <v>0</v>
      </c>
      <c r="E46" s="159">
        <v>0</v>
      </c>
      <c r="F46" s="159">
        <v>0</v>
      </c>
    </row>
    <row r="47" spans="1:6" s="1" customFormat="1" x14ac:dyDescent="0.2">
      <c r="A47" s="82"/>
      <c r="B47" s="83"/>
      <c r="C47" s="83"/>
      <c r="D47" s="83"/>
      <c r="E47" s="83"/>
      <c r="F47" s="83"/>
    </row>
    <row r="48" spans="1:6" s="1" customFormat="1" x14ac:dyDescent="0.2">
      <c r="A48" s="82" t="s">
        <v>7</v>
      </c>
      <c r="B48" s="83"/>
      <c r="C48" s="84">
        <v>4000</v>
      </c>
      <c r="D48" s="84">
        <v>30000</v>
      </c>
      <c r="E48" s="84">
        <v>35000</v>
      </c>
      <c r="F48" s="84">
        <v>35000</v>
      </c>
    </row>
    <row r="49" spans="1:35" s="1" customFormat="1" x14ac:dyDescent="0.2">
      <c r="A49" s="82" t="s">
        <v>210</v>
      </c>
      <c r="B49" s="143"/>
      <c r="C49" s="143"/>
      <c r="D49" s="38">
        <f>10*ROUND(D37*11.8,0)</f>
        <v>25250</v>
      </c>
      <c r="E49" s="38"/>
      <c r="F49" s="38"/>
    </row>
    <row r="50" spans="1:35" s="1" customFormat="1" x14ac:dyDescent="0.2">
      <c r="A50" s="36" t="s">
        <v>38</v>
      </c>
      <c r="B50" s="38"/>
      <c r="C50" s="38"/>
      <c r="D50" s="84">
        <v>-9330</v>
      </c>
      <c r="E50" s="38">
        <f>D50</f>
        <v>-9330</v>
      </c>
      <c r="F50" s="38">
        <f>E50</f>
        <v>-9330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s="1" customFormat="1" x14ac:dyDescent="0.2">
      <c r="A51" s="36" t="s">
        <v>36</v>
      </c>
      <c r="B51" s="38"/>
      <c r="C51" s="38"/>
      <c r="D51" s="38"/>
      <c r="E51" s="38"/>
      <c r="F51" s="38"/>
      <c r="G51" s="3"/>
    </row>
    <row r="52" spans="1:35" s="1" customFormat="1" x14ac:dyDescent="0.2">
      <c r="A52" s="36" t="s">
        <v>37</v>
      </c>
      <c r="B52" s="38"/>
      <c r="C52" s="84"/>
      <c r="D52" s="84"/>
      <c r="E52" s="84"/>
      <c r="F52" s="84"/>
    </row>
    <row r="53" spans="1:35" s="1" customFormat="1" x14ac:dyDescent="0.2">
      <c r="A53" s="36" t="s">
        <v>6</v>
      </c>
      <c r="B53" s="38"/>
      <c r="C53" s="38"/>
      <c r="D53" s="38"/>
      <c r="E53" s="38"/>
      <c r="F53" s="38"/>
    </row>
    <row r="54" spans="1:35" s="1" customFormat="1" x14ac:dyDescent="0.2">
      <c r="A54" s="36" t="s">
        <v>11</v>
      </c>
      <c r="B54" s="38"/>
      <c r="C54" s="84">
        <v>8000</v>
      </c>
      <c r="D54" s="84">
        <v>8000</v>
      </c>
      <c r="E54" s="84">
        <v>8000</v>
      </c>
      <c r="F54" s="84">
        <v>8000</v>
      </c>
    </row>
    <row r="55" spans="1:35" s="1" customFormat="1" x14ac:dyDescent="0.2">
      <c r="A55" s="36" t="s">
        <v>8</v>
      </c>
      <c r="B55" s="38"/>
      <c r="C55" s="38"/>
      <c r="D55" s="38"/>
      <c r="E55" s="38"/>
      <c r="F55" s="38"/>
    </row>
    <row r="56" spans="1:35" s="1" customFormat="1" x14ac:dyDescent="0.2">
      <c r="A56" s="36" t="s">
        <v>9</v>
      </c>
      <c r="B56" s="38"/>
      <c r="C56" s="38"/>
      <c r="D56" s="38"/>
      <c r="E56" s="38"/>
      <c r="F56" s="38"/>
    </row>
    <row r="57" spans="1:35" s="1" customFormat="1" x14ac:dyDescent="0.2">
      <c r="A57" s="36" t="s">
        <v>10</v>
      </c>
      <c r="B57" s="38"/>
      <c r="C57" s="38"/>
      <c r="D57" s="84">
        <v>6000</v>
      </c>
      <c r="E57" s="84">
        <v>6000</v>
      </c>
      <c r="F57" s="84">
        <v>6000</v>
      </c>
    </row>
    <row r="58" spans="1:35" s="1" customFormat="1" x14ac:dyDescent="0.2">
      <c r="A58" s="85" t="s">
        <v>12</v>
      </c>
      <c r="B58" s="86"/>
      <c r="C58" s="84"/>
      <c r="D58" s="84">
        <v>0</v>
      </c>
      <c r="E58" s="84">
        <v>0</v>
      </c>
      <c r="F58" s="84">
        <v>0</v>
      </c>
    </row>
    <row r="59" spans="1:35" s="1" customFormat="1" x14ac:dyDescent="0.2">
      <c r="A59" s="28" t="s">
        <v>1</v>
      </c>
      <c r="B59" s="29">
        <f t="shared" ref="B59" si="1">SUM(B48:B58)</f>
        <v>0</v>
      </c>
      <c r="C59" s="29">
        <f t="shared" ref="C59" si="2">SUM(C48:C58)</f>
        <v>12000</v>
      </c>
      <c r="D59" s="29">
        <f t="shared" ref="D59:F59" si="3">SUM(D48:D58)</f>
        <v>59920</v>
      </c>
      <c r="E59" s="29">
        <f t="shared" si="3"/>
        <v>39670</v>
      </c>
      <c r="F59" s="29">
        <f t="shared" si="3"/>
        <v>39670</v>
      </c>
    </row>
    <row r="60" spans="1:35" s="1" customFormat="1" x14ac:dyDescent="0.2">
      <c r="A60" s="23" t="s">
        <v>252</v>
      </c>
      <c r="B60" s="92"/>
      <c r="C60" s="92"/>
      <c r="D60" s="84">
        <v>30000</v>
      </c>
      <c r="E60" s="84">
        <v>30000</v>
      </c>
      <c r="F60" s="84">
        <v>30000</v>
      </c>
    </row>
    <row r="61" spans="1:35" s="1" customFormat="1" x14ac:dyDescent="0.2">
      <c r="A61" s="23" t="s">
        <v>253</v>
      </c>
      <c r="B61" s="92"/>
      <c r="C61" s="92"/>
      <c r="D61" s="156">
        <v>0.7</v>
      </c>
      <c r="E61" s="156">
        <v>0.7</v>
      </c>
      <c r="F61" s="156">
        <v>0.7</v>
      </c>
    </row>
    <row r="62" spans="1:35" s="1" customFormat="1" x14ac:dyDescent="0.2">
      <c r="A62" s="23" t="s">
        <v>61</v>
      </c>
      <c r="B62" s="92"/>
      <c r="C62" s="92">
        <v>0</v>
      </c>
      <c r="D62" s="92">
        <f>IF($B$26="a",IF(D59-D50-D54-D58&gt;D60,D60,D59-D50-D54-D58),0)</f>
        <v>30000</v>
      </c>
      <c r="E62" s="92">
        <f>IF($B$26="a",IF(E59-E50-E54-E58&gt;E60,E60,E59-E50-E54-E58),0)</f>
        <v>30000</v>
      </c>
      <c r="F62" s="92">
        <f>IF($B$26="a",IF(F59-F50-F54-F58&gt;F60,F60,F59-F50-F54-F58),0)</f>
        <v>30000</v>
      </c>
    </row>
    <row r="63" spans="1:35" x14ac:dyDescent="0.2">
      <c r="A63" s="23" t="s">
        <v>62</v>
      </c>
      <c r="B63" s="92"/>
      <c r="C63" s="92">
        <f t="shared" ref="C63" si="4">0.25*C62</f>
        <v>0</v>
      </c>
      <c r="D63" s="92">
        <f>D61*D62</f>
        <v>21000</v>
      </c>
      <c r="E63" s="92">
        <f t="shared" ref="E63:F63" si="5">E61*E62</f>
        <v>21000</v>
      </c>
      <c r="F63" s="92">
        <f t="shared" si="5"/>
        <v>21000</v>
      </c>
      <c r="G63" s="1"/>
    </row>
    <row r="64" spans="1:35" x14ac:dyDescent="0.2">
      <c r="A64" s="23" t="s">
        <v>64</v>
      </c>
      <c r="B64" s="92"/>
      <c r="C64" s="92"/>
      <c r="D64" s="92"/>
      <c r="E64" s="92"/>
      <c r="F64" s="92"/>
    </row>
    <row r="65" spans="1:6" x14ac:dyDescent="0.2">
      <c r="A65" s="23" t="s">
        <v>65</v>
      </c>
      <c r="B65" s="92"/>
      <c r="C65" s="79"/>
      <c r="D65" s="79"/>
      <c r="E65" s="79"/>
      <c r="F65" s="79"/>
    </row>
    <row r="66" spans="1:6" x14ac:dyDescent="0.2">
      <c r="A66" s="34" t="s">
        <v>5</v>
      </c>
      <c r="B66" s="78">
        <f>B63+B64+B65</f>
        <v>0</v>
      </c>
      <c r="C66" s="78">
        <f t="shared" ref="C66" si="6">C63+C64+C65</f>
        <v>0</v>
      </c>
      <c r="D66" s="78">
        <f t="shared" ref="D66:F66" si="7">D63+D64+D65</f>
        <v>21000</v>
      </c>
      <c r="E66" s="78">
        <f t="shared" si="7"/>
        <v>21000</v>
      </c>
      <c r="F66" s="78">
        <f t="shared" si="7"/>
        <v>21000</v>
      </c>
    </row>
    <row r="67" spans="1:6" x14ac:dyDescent="0.2">
      <c r="A67" s="21" t="s">
        <v>13</v>
      </c>
      <c r="B67" s="22">
        <f t="shared" ref="B67" si="8">B59-B66</f>
        <v>0</v>
      </c>
      <c r="C67" s="22">
        <f t="shared" ref="C67" si="9">C59-C66</f>
        <v>12000</v>
      </c>
      <c r="D67" s="22">
        <f t="shared" ref="D67:F67" si="10">D59-D66</f>
        <v>38920</v>
      </c>
      <c r="E67" s="22">
        <f t="shared" si="10"/>
        <v>18670</v>
      </c>
      <c r="F67" s="22">
        <f t="shared" si="10"/>
        <v>18670</v>
      </c>
    </row>
    <row r="68" spans="1:6" x14ac:dyDescent="0.2">
      <c r="A68" s="28" t="s">
        <v>45</v>
      </c>
      <c r="B68" s="29">
        <v>0</v>
      </c>
      <c r="C68" s="92">
        <f t="shared" ref="C68" si="11">C67-$B$67</f>
        <v>12000</v>
      </c>
      <c r="D68" s="92">
        <f t="shared" ref="D68:F68" si="12">D67-$B$67</f>
        <v>38920</v>
      </c>
      <c r="E68" s="92">
        <f t="shared" si="12"/>
        <v>18670</v>
      </c>
      <c r="F68" s="92">
        <f t="shared" si="12"/>
        <v>18670</v>
      </c>
    </row>
    <row r="69" spans="1:6" x14ac:dyDescent="0.2">
      <c r="A69" s="23" t="s">
        <v>66</v>
      </c>
      <c r="B69" s="35">
        <f>10*ROUND((B6*10.6+B7+B8*E16+B9*E17+B10-B11)*B13/10,0)</f>
        <v>17520</v>
      </c>
      <c r="C69" s="124">
        <f>B69</f>
        <v>17520</v>
      </c>
      <c r="D69" s="124">
        <f>C69</f>
        <v>17520</v>
      </c>
      <c r="E69" s="124">
        <f t="shared" ref="E69:E70" si="13">C69</f>
        <v>17520</v>
      </c>
      <c r="F69" s="124">
        <f t="shared" ref="F69:F70" si="14">D69</f>
        <v>17520</v>
      </c>
    </row>
    <row r="70" spans="1:6" x14ac:dyDescent="0.2">
      <c r="A70" s="34" t="s">
        <v>67</v>
      </c>
      <c r="B70" s="35">
        <f>B11-B12</f>
        <v>1600</v>
      </c>
      <c r="C70" s="37">
        <f>B70</f>
        <v>1600</v>
      </c>
      <c r="D70" s="37">
        <f>C70</f>
        <v>1600</v>
      </c>
      <c r="E70" s="37">
        <f t="shared" si="13"/>
        <v>1600</v>
      </c>
      <c r="F70" s="37">
        <f t="shared" si="14"/>
        <v>1600</v>
      </c>
    </row>
    <row r="71" spans="1:6" x14ac:dyDescent="0.2">
      <c r="A71" s="82" t="s">
        <v>203</v>
      </c>
      <c r="B71" s="35"/>
      <c r="C71" s="37">
        <f>IF(B11=0,0,10*ROUND(C70*(0.77*B12/B11+1)/(C39*10),0))</f>
        <v>800</v>
      </c>
      <c r="D71" s="37">
        <f>10*ROUND((D69+D70)/(10*D39),0)</f>
        <v>4250</v>
      </c>
      <c r="E71" s="37">
        <f>10*ROUND((E69+E70)/(10*E39),0)</f>
        <v>4780</v>
      </c>
      <c r="F71" s="37">
        <f>10*ROUND((F69+F70)/(10*F39),0)</f>
        <v>4780</v>
      </c>
    </row>
    <row r="72" spans="1:6" x14ac:dyDescent="0.2">
      <c r="A72" s="82" t="s">
        <v>221</v>
      </c>
      <c r="B72" s="35"/>
      <c r="C72" s="158">
        <f>10*ROUND($B$23*C43*C44*C45*0.88/10,0)</f>
        <v>900</v>
      </c>
      <c r="D72" s="158">
        <f t="shared" ref="D72:F72" si="15">10*ROUND($B$23*D43*D44*D45*0.88/10,0)</f>
        <v>900</v>
      </c>
      <c r="E72" s="158">
        <f t="shared" si="15"/>
        <v>900</v>
      </c>
      <c r="F72" s="158">
        <f t="shared" si="15"/>
        <v>900</v>
      </c>
    </row>
    <row r="73" spans="1:6" x14ac:dyDescent="0.2">
      <c r="A73" s="82" t="s">
        <v>222</v>
      </c>
      <c r="B73" s="35"/>
      <c r="C73" s="37">
        <f>10*ROUND(C41*C72/10,0)</f>
        <v>3600</v>
      </c>
      <c r="D73" s="37">
        <f t="shared" ref="D73:F73" si="16">10*ROUND(D41*D72/10,0)</f>
        <v>3600</v>
      </c>
      <c r="E73" s="37">
        <f t="shared" si="16"/>
        <v>3600</v>
      </c>
      <c r="F73" s="37">
        <f t="shared" si="16"/>
        <v>3600</v>
      </c>
    </row>
    <row r="74" spans="1:6" x14ac:dyDescent="0.2">
      <c r="A74" s="82" t="s">
        <v>224</v>
      </c>
      <c r="B74" s="35"/>
      <c r="C74" s="37">
        <f>Berechnung!C92</f>
        <v>230</v>
      </c>
      <c r="D74" s="37">
        <f>Berechnung!D92</f>
        <v>410</v>
      </c>
      <c r="E74" s="37">
        <f>Berechnung!E92</f>
        <v>460</v>
      </c>
      <c r="F74" s="37">
        <f>Berechnung!F92</f>
        <v>460</v>
      </c>
    </row>
    <row r="75" spans="1:6" x14ac:dyDescent="0.2">
      <c r="A75" s="82" t="s">
        <v>223</v>
      </c>
      <c r="B75" s="35"/>
      <c r="C75" s="37">
        <f>Berechnung!C93</f>
        <v>1150</v>
      </c>
      <c r="D75" s="37">
        <f>Berechnung!D93</f>
        <v>1150</v>
      </c>
      <c r="E75" s="37">
        <f>Berechnung!E93</f>
        <v>1150</v>
      </c>
      <c r="F75" s="37">
        <f>Berechnung!F93</f>
        <v>1150</v>
      </c>
    </row>
    <row r="76" spans="1:6" x14ac:dyDescent="0.2">
      <c r="A76" s="82" t="s">
        <v>98</v>
      </c>
      <c r="B76" s="35"/>
      <c r="C76" s="37">
        <f>IF($B$6&gt;0,10*ROUND((10.6*$B$6-B11*10.6*$B$6/($B$84-$B$81))/10,0),0)</f>
        <v>21900</v>
      </c>
      <c r="D76" s="37">
        <v>0</v>
      </c>
      <c r="E76" s="37">
        <v>0</v>
      </c>
      <c r="F76" s="37">
        <v>0</v>
      </c>
    </row>
    <row r="77" spans="1:6" x14ac:dyDescent="0.2">
      <c r="A77" s="36" t="s">
        <v>80</v>
      </c>
      <c r="B77" s="35"/>
      <c r="C77" s="37">
        <f>IF($B$7&gt;0,10*ROUND(($B$7-B11*$B$7/($B$84-$B$81))/10,0),0)</f>
        <v>0</v>
      </c>
      <c r="D77" s="37">
        <v>0</v>
      </c>
      <c r="E77" s="37">
        <v>0</v>
      </c>
      <c r="F77" s="37">
        <v>0</v>
      </c>
    </row>
    <row r="78" spans="1:6" x14ac:dyDescent="0.2">
      <c r="A78" s="36" t="s">
        <v>99</v>
      </c>
      <c r="B78" s="35"/>
      <c r="C78" s="37">
        <f>IF($B$8&gt;0,10*ROUND(($E$16*$B$8-B11*$E$16*$B$8/($B$84-$B$81))/10,0),0)</f>
        <v>0</v>
      </c>
      <c r="D78" s="37">
        <v>0</v>
      </c>
      <c r="E78" s="37">
        <v>0</v>
      </c>
      <c r="F78" s="37">
        <v>0</v>
      </c>
    </row>
    <row r="79" spans="1:6" x14ac:dyDescent="0.2">
      <c r="A79" s="36" t="s">
        <v>100</v>
      </c>
      <c r="B79" s="35"/>
      <c r="C79" s="37">
        <f>IF($B$9&gt;0,10*ROUND(($E$17*$B$9-B11*$E$17*$B$9/($B$84-$B$81))/10,0),0)</f>
        <v>0</v>
      </c>
      <c r="D79" s="37">
        <v>0</v>
      </c>
      <c r="E79" s="37">
        <v>0</v>
      </c>
      <c r="F79" s="37">
        <v>0</v>
      </c>
    </row>
    <row r="80" spans="1:6" x14ac:dyDescent="0.2">
      <c r="A80" s="36" t="s">
        <v>101</v>
      </c>
      <c r="B80" s="35"/>
      <c r="C80" s="37">
        <f>IF($B$10&gt;0,10*ROUND(($B$10-B11*$B$10/($B$84-$B$81))/10,0),0)</f>
        <v>0</v>
      </c>
      <c r="D80" s="37">
        <v>0</v>
      </c>
      <c r="E80" s="37">
        <v>0</v>
      </c>
      <c r="F80" s="37">
        <v>0</v>
      </c>
    </row>
    <row r="81" spans="1:6" x14ac:dyDescent="0.2">
      <c r="A81" s="36" t="s">
        <v>44</v>
      </c>
      <c r="B81" s="37">
        <f>B25</f>
        <v>4000</v>
      </c>
      <c r="C81" s="37">
        <f>$B$81-C75</f>
        <v>2850</v>
      </c>
      <c r="D81" s="37">
        <f t="shared" ref="D81:F81" si="17">$B$81-D75</f>
        <v>2850</v>
      </c>
      <c r="E81" s="37">
        <f t="shared" si="17"/>
        <v>2850</v>
      </c>
      <c r="F81" s="37">
        <f t="shared" si="17"/>
        <v>2850</v>
      </c>
    </row>
    <row r="82" spans="1:6" x14ac:dyDescent="0.2">
      <c r="A82" s="36" t="s">
        <v>225</v>
      </c>
      <c r="B82" s="37"/>
      <c r="C82" s="37">
        <f>C71-C74</f>
        <v>570</v>
      </c>
      <c r="D82" s="37">
        <f t="shared" ref="D82:F82" si="18">D71-D74</f>
        <v>3840</v>
      </c>
      <c r="E82" s="37">
        <f t="shared" si="18"/>
        <v>4320</v>
      </c>
      <c r="F82" s="37">
        <f t="shared" si="18"/>
        <v>4320</v>
      </c>
    </row>
    <row r="83" spans="1:6" x14ac:dyDescent="0.2">
      <c r="A83" s="36" t="s">
        <v>228</v>
      </c>
      <c r="B83" s="37"/>
      <c r="C83" s="37">
        <f>Berechnung!C94</f>
        <v>2220</v>
      </c>
      <c r="D83" s="37">
        <f>Berechnung!D94</f>
        <v>2040</v>
      </c>
      <c r="E83" s="37">
        <f>Berechnung!E94</f>
        <v>1990</v>
      </c>
      <c r="F83" s="37">
        <f>Berechnung!F94</f>
        <v>1990</v>
      </c>
    </row>
    <row r="84" spans="1:6" x14ac:dyDescent="0.2">
      <c r="A84" s="36" t="s">
        <v>18</v>
      </c>
      <c r="B84" s="37">
        <f>10*ROUND((B6*10.6+B7+B8*$E$16+B9*$E$17+B10+B81)/10,0)</f>
        <v>30500</v>
      </c>
      <c r="C84" s="37">
        <f>10*ROUND((SUM(C76:C82)-C83)/10,0)</f>
        <v>23100</v>
      </c>
      <c r="D84" s="37">
        <f t="shared" ref="D84:F84" si="19">10*ROUND((SUM(D76:D82)-D83)/10,0)</f>
        <v>4650</v>
      </c>
      <c r="E84" s="37">
        <f t="shared" si="19"/>
        <v>5180</v>
      </c>
      <c r="F84" s="37">
        <f t="shared" si="19"/>
        <v>5180</v>
      </c>
    </row>
    <row r="85" spans="1:6" x14ac:dyDescent="0.2">
      <c r="A85" s="36" t="s">
        <v>41</v>
      </c>
      <c r="B85" s="38">
        <f>10*ROUND((B6*$B$14+B7*$B$15/100+B8*$B$16+B9*$B$17+B10*$B$19/100+B81*$B$18/100)/10,0)</f>
        <v>5100</v>
      </c>
      <c r="C85" s="38">
        <f>10*ROUND((C76*$B$14/10.6+C77*$B$15/100+C78*$G$16/100+C79*$G$17/100+C80*$B$19/100+C81*$B$18/100+C82*$B$20/100)/10,0)</f>
        <v>4190</v>
      </c>
      <c r="D85" s="38">
        <f>10*ROUND((D76*$B$14/10.6+D77*$B$15/100+D78*$G$16/100+D79*$G$17/100+D80*$B$19/100+D81*$B$18/100+D82*$B$20/100)/10,0)</f>
        <v>2220</v>
      </c>
      <c r="E85" s="38">
        <f t="shared" ref="E85:F85" si="20">10*ROUND((E76*$B$14/10.6+E77*$B$15/100+E78*$G$16/100+E79*$G$17/100+E80*$B$19/100+E81*$B$18/100+E82*$B$20/100)/10,0)</f>
        <v>2350</v>
      </c>
      <c r="F85" s="38">
        <f t="shared" si="20"/>
        <v>2350</v>
      </c>
    </row>
    <row r="86" spans="1:6" x14ac:dyDescent="0.2">
      <c r="A86" s="36" t="s">
        <v>229</v>
      </c>
      <c r="B86" s="36"/>
      <c r="C86" s="38">
        <f>10*ROUND(C83*C42/1000,0)</f>
        <v>180</v>
      </c>
      <c r="D86" s="38">
        <f t="shared" ref="D86:F86" si="21">10*ROUND(D83*D42/1000,0)</f>
        <v>170</v>
      </c>
      <c r="E86" s="38">
        <f t="shared" si="21"/>
        <v>160</v>
      </c>
      <c r="F86" s="38">
        <f t="shared" si="21"/>
        <v>160</v>
      </c>
    </row>
    <row r="87" spans="1:6" x14ac:dyDescent="0.2">
      <c r="A87" s="21" t="s">
        <v>42</v>
      </c>
      <c r="B87" s="77">
        <v>200</v>
      </c>
      <c r="C87" s="38">
        <f>ROUNDDOWN((C41/2),0)*10+150+$B$87+$B$89</f>
        <v>370</v>
      </c>
      <c r="D87" s="38">
        <f>ROUNDDOWN((D41/2),0)*10+150+50</f>
        <v>220</v>
      </c>
      <c r="E87" s="38">
        <f t="shared" ref="E87:F87" si="22">ROUNDDOWN((E41/2),0)*10+150+50</f>
        <v>220</v>
      </c>
      <c r="F87" s="38">
        <f t="shared" si="22"/>
        <v>220</v>
      </c>
    </row>
    <row r="88" spans="1:6" x14ac:dyDescent="0.2">
      <c r="A88" s="21" t="s">
        <v>240</v>
      </c>
      <c r="B88" s="77"/>
      <c r="C88" s="22">
        <f>10*ROUND(C58/400,0)</f>
        <v>0</v>
      </c>
      <c r="D88" s="22">
        <f t="shared" ref="D88:F88" si="23">10*ROUND(D58/400,0)</f>
        <v>0</v>
      </c>
      <c r="E88" s="22">
        <f t="shared" si="23"/>
        <v>0</v>
      </c>
      <c r="F88" s="22">
        <f t="shared" si="23"/>
        <v>0</v>
      </c>
    </row>
    <row r="89" spans="1:6" x14ac:dyDescent="0.2">
      <c r="A89" s="39" t="s">
        <v>230</v>
      </c>
      <c r="B89" s="77"/>
      <c r="C89" s="77"/>
      <c r="D89" s="77"/>
      <c r="E89" s="77"/>
      <c r="F89" s="77"/>
    </row>
    <row r="90" spans="1:6" x14ac:dyDescent="0.2">
      <c r="A90" s="39" t="s">
        <v>43</v>
      </c>
      <c r="B90" s="40">
        <f t="shared" ref="B90" si="24">B85+B87</f>
        <v>5300</v>
      </c>
      <c r="C90" s="40">
        <f>C85+C87+C89-C86+C88</f>
        <v>4380</v>
      </c>
      <c r="D90" s="40">
        <f t="shared" ref="D90:F90" si="25">D85+D87+D89-D86+D88</f>
        <v>2270</v>
      </c>
      <c r="E90" s="40">
        <f t="shared" si="25"/>
        <v>2410</v>
      </c>
      <c r="F90" s="40">
        <f t="shared" si="25"/>
        <v>2410</v>
      </c>
    </row>
    <row r="91" spans="1:6" x14ac:dyDescent="0.2">
      <c r="A91" s="28" t="s">
        <v>2</v>
      </c>
      <c r="B91" s="41">
        <v>0</v>
      </c>
      <c r="C91" s="41">
        <f>-C68-20*(C90-$B$90)</f>
        <v>6400</v>
      </c>
      <c r="D91" s="41">
        <f>-D68-20*(D90-$B$90)</f>
        <v>21680</v>
      </c>
      <c r="E91" s="41">
        <f>-E68-20*(E90-$B$90)</f>
        <v>39130</v>
      </c>
      <c r="F91" s="41">
        <f>-F68-20*(F90-$B$90)</f>
        <v>39130</v>
      </c>
    </row>
    <row r="92" spans="1:6" x14ac:dyDescent="0.2">
      <c r="A92" s="28" t="s">
        <v>16</v>
      </c>
      <c r="B92" s="80"/>
      <c r="C92" s="43">
        <f>IF((($B$90-C90)=0),IF((C68&lt;=0),"sofort","nie"),IF((C68/($B$90-C90)&lt;=0),IF((C68&lt;=0),"sofort","nie"),C68/($B$90-C90)))</f>
        <v>13.043478260869565</v>
      </c>
      <c r="D92" s="43">
        <f>IF((($B$90-D90)=0),IF((D68&lt;=0),"sofort","nie"),IF((D68/($B$90-D90)&lt;=0),IF((D68&lt;=0),"sofort","nie"),D68/($B$90-D90)))</f>
        <v>12.844884488448844</v>
      </c>
      <c r="E92" s="43">
        <f>IF((($B$90-E90)=0),IF((E68&lt;=0),"sofort","nie"),IF((E68/($B$90-E90)&lt;=0),IF((E68&lt;=0),"sofort","nie"),E68/($B$90-E90)))</f>
        <v>6.4602076124567471</v>
      </c>
      <c r="F92" s="43">
        <f>IF((($B$90-F90)=0),IF((F68&lt;=0),"sofort","nie"),IF((F68/($B$90-F90)&lt;=0),IF((F68&lt;=0),"sofort","nie"),F68/($B$90-F90)))</f>
        <v>6.4602076124567471</v>
      </c>
    </row>
    <row r="93" spans="1:6" x14ac:dyDescent="0.2">
      <c r="A93" s="28" t="s">
        <v>17</v>
      </c>
      <c r="B93" s="44">
        <f>ROUND((B6*10.6*$K$12+B7*$K$13+B8*$E$16*$K$15+B9*$E$17*$K$16+B10*$K$14+B81*$K$14)/1000,1)</f>
        <v>10.5</v>
      </c>
      <c r="C93" s="44">
        <f>ROUND((C76*$K$12+C77*$K$13+C78*$K$15+C79*$K$16+C80*$K$14+(C81+C82-C83)*$K$14)/1000,1)</f>
        <v>7.5</v>
      </c>
      <c r="D93" s="44">
        <f t="shared" ref="D93:F93" si="26">ROUND((D76*$K$12+D77*$K$13+D78*$K$15+D79*$K$16+D80*$K$14+(D81+D82-D83)*$K$14)/1000,1)</f>
        <v>2.6</v>
      </c>
      <c r="E93" s="44">
        <f t="shared" si="26"/>
        <v>2.9</v>
      </c>
      <c r="F93" s="44">
        <f t="shared" si="26"/>
        <v>2.9</v>
      </c>
    </row>
    <row r="94" spans="1:6" x14ac:dyDescent="0.2">
      <c r="A94" s="28" t="s">
        <v>3</v>
      </c>
      <c r="B94" s="184">
        <f>($B$84-$B$81-B84+B81-B83)/($B$84-$B$81)</f>
        <v>0</v>
      </c>
      <c r="C94" s="114">
        <f t="shared" ref="C94:F94" si="27">($B$84-$B$81-C84+C81-C83)/($B$84-$B$81)</f>
        <v>0.1520754716981132</v>
      </c>
      <c r="D94" s="114">
        <f t="shared" si="27"/>
        <v>0.85509433962264147</v>
      </c>
      <c r="E94" s="114">
        <f t="shared" si="27"/>
        <v>0.83698113207547165</v>
      </c>
      <c r="F94" s="114">
        <f t="shared" si="27"/>
        <v>0.83698113207547165</v>
      </c>
    </row>
    <row r="95" spans="1:6" x14ac:dyDescent="0.2">
      <c r="A95" s="28" t="s">
        <v>4</v>
      </c>
      <c r="B95" s="45">
        <v>0</v>
      </c>
      <c r="C95" s="114">
        <f>ROUND(100*($B$81-C81)/$B$81,1)/100</f>
        <v>0.28800000000000003</v>
      </c>
      <c r="D95" s="114">
        <f t="shared" ref="D95:F95" si="28">ROUND(100*($B$81-D81)/$B$81,1)/100</f>
        <v>0.28800000000000003</v>
      </c>
      <c r="E95" s="114">
        <f t="shared" si="28"/>
        <v>0.28800000000000003</v>
      </c>
      <c r="F95" s="114">
        <f t="shared" si="28"/>
        <v>0.28800000000000003</v>
      </c>
    </row>
    <row r="96" spans="1:6" x14ac:dyDescent="0.2">
      <c r="A96" s="28" t="s">
        <v>69</v>
      </c>
      <c r="B96" s="45">
        <f>($B$84-B84)/$B$84</f>
        <v>0</v>
      </c>
      <c r="C96" s="114">
        <f t="shared" ref="C96:F96" si="29">($B$84-C84)/$B$84</f>
        <v>0.24262295081967214</v>
      </c>
      <c r="D96" s="114">
        <f t="shared" si="29"/>
        <v>0.84754098360655739</v>
      </c>
      <c r="E96" s="114">
        <f t="shared" si="29"/>
        <v>0.83016393442622949</v>
      </c>
      <c r="F96" s="114">
        <f t="shared" si="29"/>
        <v>0.83016393442622949</v>
      </c>
    </row>
    <row r="97" spans="1:16" x14ac:dyDescent="0.2">
      <c r="A97" s="187" t="s">
        <v>260</v>
      </c>
      <c r="B97" s="127">
        <f>B84/$B$24</f>
        <v>254.16666666666666</v>
      </c>
      <c r="C97" s="127">
        <f t="shared" ref="C97:F97" si="30">C84/$B$24</f>
        <v>192.5</v>
      </c>
      <c r="D97" s="127">
        <f t="shared" si="30"/>
        <v>38.75</v>
      </c>
      <c r="E97" s="127">
        <f t="shared" si="30"/>
        <v>43.166666666666664</v>
      </c>
      <c r="F97" s="127">
        <f t="shared" si="30"/>
        <v>43.166666666666664</v>
      </c>
    </row>
    <row r="98" spans="1:16" x14ac:dyDescent="0.2">
      <c r="A98" s="1"/>
      <c r="B98" s="4"/>
      <c r="C98" s="4"/>
      <c r="D98" s="4"/>
      <c r="E98" s="4"/>
      <c r="F98" s="4"/>
      <c r="G98" s="4"/>
      <c r="H98" s="4"/>
    </row>
    <row r="99" spans="1:16" x14ac:dyDescent="0.2">
      <c r="D99" s="6"/>
      <c r="E99" s="6"/>
      <c r="F99" s="6"/>
      <c r="G99" s="6"/>
      <c r="H99" s="6"/>
      <c r="L99" s="3"/>
    </row>
    <row r="100" spans="1:16" x14ac:dyDescent="0.2">
      <c r="B100" s="57"/>
      <c r="C100" s="48" t="s">
        <v>46</v>
      </c>
      <c r="D100" s="48"/>
      <c r="E100" s="48"/>
      <c r="F100" s="58"/>
      <c r="G100" s="59" t="s">
        <v>47</v>
      </c>
      <c r="H100" s="48"/>
      <c r="I100" s="49"/>
    </row>
    <row r="101" spans="1:16" x14ac:dyDescent="0.2">
      <c r="B101" s="60"/>
      <c r="C101" t="s">
        <v>48</v>
      </c>
      <c r="F101" s="61"/>
      <c r="G101" t="s">
        <v>49</v>
      </c>
      <c r="I101" s="52"/>
    </row>
    <row r="102" spans="1:16" x14ac:dyDescent="0.2">
      <c r="B102" s="62"/>
      <c r="C102" t="s">
        <v>50</v>
      </c>
      <c r="F102" s="63"/>
      <c r="G102" t="s">
        <v>51</v>
      </c>
      <c r="I102" s="52"/>
    </row>
    <row r="103" spans="1:16" x14ac:dyDescent="0.2">
      <c r="B103" s="64"/>
      <c r="C103" s="55" t="s">
        <v>52</v>
      </c>
      <c r="D103" s="55"/>
      <c r="E103" s="55"/>
      <c r="F103" s="55"/>
      <c r="G103" s="55"/>
      <c r="H103" s="55"/>
      <c r="I103" s="56"/>
    </row>
    <row r="105" spans="1:16" x14ac:dyDescent="0.2">
      <c r="B105" s="107"/>
      <c r="C105" s="47" t="s">
        <v>60</v>
      </c>
      <c r="D105" s="48"/>
      <c r="E105" s="48"/>
      <c r="F105" s="49"/>
      <c r="P105" s="99"/>
    </row>
    <row r="106" spans="1:16" x14ac:dyDescent="0.2">
      <c r="B106" s="50" t="s">
        <v>56</v>
      </c>
      <c r="C106" s="51" t="s">
        <v>58</v>
      </c>
      <c r="F106" s="52"/>
    </row>
    <row r="107" spans="1:16" x14ac:dyDescent="0.2">
      <c r="B107" s="53" t="s">
        <v>57</v>
      </c>
      <c r="C107" s="54" t="s">
        <v>59</v>
      </c>
      <c r="D107" s="55"/>
      <c r="E107" s="55"/>
      <c r="F107" s="56"/>
    </row>
    <row r="109" spans="1:16" x14ac:dyDescent="0.2">
      <c r="B109" t="s">
        <v>261</v>
      </c>
    </row>
    <row r="111" spans="1:16" x14ac:dyDescent="0.2">
      <c r="B111" s="189" t="s">
        <v>262</v>
      </c>
      <c r="C111" s="190" t="s">
        <v>262</v>
      </c>
      <c r="D111" s="191" t="s">
        <v>263</v>
      </c>
      <c r="E111" s="192" t="s">
        <v>263</v>
      </c>
      <c r="F111" s="193" t="s">
        <v>264</v>
      </c>
    </row>
    <row r="112" spans="1:16" x14ac:dyDescent="0.2">
      <c r="B112" s="186"/>
      <c r="C112" s="190" t="s">
        <v>265</v>
      </c>
      <c r="D112" s="191"/>
      <c r="E112" s="192" t="s">
        <v>266</v>
      </c>
      <c r="F112" s="188"/>
    </row>
  </sheetData>
  <sheetProtection algorithmName="SHA-512" hashValue="1zJCWim33Va1aTWg4G6MVN00RMmMmfljjJZ470Ies9Zo5enFBuNit1FXmR2inv77N9SAheXbsccx+jbXcaRX+w==" saltValue="Uc/wq1T26ykGfNoCbm1nFQ==" spinCount="100000" sheet="1" objects="1" scenarios="1" selectLockedCells="1"/>
  <conditionalFormatting sqref="B6:B12">
    <cfRule type="cellIs" dxfId="29" priority="129" stopIfTrue="1" operator="notBetween">
      <formula>0</formula>
      <formula>100000</formula>
    </cfRule>
  </conditionalFormatting>
  <conditionalFormatting sqref="B13">
    <cfRule type="cellIs" dxfId="28" priority="19" operator="notBetween">
      <formula>0.5</formula>
      <formula>1</formula>
    </cfRule>
  </conditionalFormatting>
  <conditionalFormatting sqref="B14">
    <cfRule type="cellIs" dxfId="27" priority="56" stopIfTrue="1" operator="notBetween">
      <formula>0</formula>
      <formula>10</formula>
    </cfRule>
  </conditionalFormatting>
  <conditionalFormatting sqref="B15">
    <cfRule type="cellIs" dxfId="26" priority="24" operator="notBetween">
      <formula>3</formula>
      <formula>100</formula>
    </cfRule>
  </conditionalFormatting>
  <conditionalFormatting sqref="B16">
    <cfRule type="cellIs" dxfId="25" priority="17" stopIfTrue="1" operator="notBetween">
      <formula>10</formula>
      <formula>1000</formula>
    </cfRule>
  </conditionalFormatting>
  <conditionalFormatting sqref="B17">
    <cfRule type="cellIs" dxfId="24" priority="16" stopIfTrue="1" operator="notBetween">
      <formula>150</formula>
      <formula>1000</formula>
    </cfRule>
  </conditionalFormatting>
  <conditionalFormatting sqref="B19:B20">
    <cfRule type="cellIs" dxfId="23" priority="12" operator="notBetween">
      <formula>10</formula>
      <formula>100</formula>
    </cfRule>
  </conditionalFormatting>
  <conditionalFormatting sqref="B21:B22">
    <cfRule type="cellIs" dxfId="22" priority="9" stopIfTrue="1" operator="notBetween">
      <formula>0</formula>
      <formula>100</formula>
    </cfRule>
  </conditionalFormatting>
  <conditionalFormatting sqref="B23">
    <cfRule type="cellIs" dxfId="21" priority="88" stopIfTrue="1" operator="notBetween">
      <formula>500</formula>
      <formula>1500</formula>
    </cfRule>
  </conditionalFormatting>
  <conditionalFormatting sqref="B24">
    <cfRule type="cellIs" dxfId="0" priority="7" operator="notBetween">
      <formula>10</formula>
      <formula>1000</formula>
    </cfRule>
  </conditionalFormatting>
  <conditionalFormatting sqref="B25">
    <cfRule type="cellIs" dxfId="20" priority="87" stopIfTrue="1" operator="notBetween">
      <formula>1000</formula>
      <formula>10000</formula>
    </cfRule>
  </conditionalFormatting>
  <conditionalFormatting sqref="B105">
    <cfRule type="cellIs" dxfId="19" priority="22" stopIfTrue="1" operator="notBetween">
      <formula>60</formula>
      <formula>140</formula>
    </cfRule>
  </conditionalFormatting>
  <conditionalFormatting sqref="B68:F68">
    <cfRule type="cellIs" dxfId="18" priority="27" operator="lessThan">
      <formula>0</formula>
    </cfRule>
    <cfRule type="cellIs" dxfId="17" priority="28" stopIfTrue="1" operator="lessThanOrEqual">
      <formula>5000</formula>
    </cfRule>
  </conditionalFormatting>
  <conditionalFormatting sqref="B90:F90">
    <cfRule type="cellIs" dxfId="16" priority="97" operator="lessThanOrEqual">
      <formula>1500</formula>
    </cfRule>
    <cfRule type="cellIs" dxfId="15" priority="98" operator="greaterThan">
      <formula>$B$90</formula>
    </cfRule>
  </conditionalFormatting>
  <conditionalFormatting sqref="B91:F91">
    <cfRule type="cellIs" dxfId="14" priority="49" stopIfTrue="1" operator="greaterThanOrEqual">
      <formula>5000</formula>
    </cfRule>
  </conditionalFormatting>
  <conditionalFormatting sqref="B93:F93">
    <cfRule type="cellIs" dxfId="13" priority="103" operator="lessThanOrEqual">
      <formula>2</formula>
    </cfRule>
    <cfRule type="cellIs" dxfId="12" priority="104" operator="greaterThan">
      <formula>$B$93</formula>
    </cfRule>
  </conditionalFormatting>
  <conditionalFormatting sqref="B94:F94">
    <cfRule type="cellIs" dxfId="11" priority="8" stopIfTrue="1" operator="greaterThanOrEqual">
      <formula>0.5</formula>
    </cfRule>
  </conditionalFormatting>
  <conditionalFormatting sqref="B95:F95">
    <cfRule type="cellIs" dxfId="10" priority="40" stopIfTrue="1" operator="greaterThanOrEqual">
      <formula>0.5</formula>
    </cfRule>
  </conditionalFormatting>
  <conditionalFormatting sqref="B97:F97">
    <cfRule type="cellIs" dxfId="9" priority="2" operator="greaterThan">
      <formula>220</formula>
    </cfRule>
    <cfRule type="cellIs" dxfId="8" priority="3" operator="between">
      <formula>180</formula>
      <formula>220</formula>
    </cfRule>
    <cfRule type="cellIs" dxfId="7" priority="4" operator="between">
      <formula>100</formula>
      <formula>180</formula>
    </cfRule>
    <cfRule type="cellIs" dxfId="6" priority="5" operator="between">
      <formula>80</formula>
      <formula>100</formula>
    </cfRule>
    <cfRule type="cellIs" dxfId="5" priority="6" operator="lessThan">
      <formula>80</formula>
    </cfRule>
  </conditionalFormatting>
  <conditionalFormatting sqref="C92:F92">
    <cfRule type="expression" dxfId="4" priority="186">
      <formula>OR(IF(C$68&gt;0,C$92&lt;=10,C$92&gt;30),C$91="sofort")</formula>
    </cfRule>
    <cfRule type="expression" dxfId="3" priority="187" stopIfTrue="1">
      <formula>C$68&lt;0</formula>
    </cfRule>
  </conditionalFormatting>
  <conditionalFormatting sqref="C96:F96">
    <cfRule type="cellIs" dxfId="2" priority="41" stopIfTrue="1" operator="greaterThanOrEqual">
      <formula>0.5</formula>
    </cfRule>
  </conditionalFormatting>
  <conditionalFormatting sqref="B18">
    <cfRule type="cellIs" dxfId="1" priority="1" operator="notBetween">
      <formula>10</formula>
      <formula>200</formula>
    </cfRule>
  </conditionalFormatting>
  <pageMargins left="0.39370078740157483" right="0.39370078740157483" top="0.98425196850393704" bottom="0.98425196850393704" header="0.51181102362204722" footer="0.51181102362204722"/>
  <pageSetup paperSize="9" scale="43" fitToWidth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N143"/>
  <sheetViews>
    <sheetView topLeftCell="A115" workbookViewId="0">
      <selection activeCell="C142" sqref="C142"/>
    </sheetView>
  </sheetViews>
  <sheetFormatPr baseColWidth="10" defaultRowHeight="12.75" x14ac:dyDescent="0.2"/>
  <cols>
    <col min="1" max="1" width="22.7109375" customWidth="1"/>
    <col min="3" max="3" width="12.42578125" bestFit="1" customWidth="1"/>
  </cols>
  <sheetData>
    <row r="1" spans="1:5" x14ac:dyDescent="0.2">
      <c r="A1" s="51" t="s">
        <v>95</v>
      </c>
      <c r="E1" s="51" t="s">
        <v>92</v>
      </c>
    </row>
    <row r="3" spans="1:5" x14ac:dyDescent="0.2">
      <c r="A3" s="51" t="s">
        <v>94</v>
      </c>
      <c r="B3" t="e">
        <f>'Haustechnikvarianten berechnen'!#REF!</f>
        <v>#REF!</v>
      </c>
      <c r="E3" t="e">
        <f>'Haustechnikvarianten berechnen'!#REF!</f>
        <v>#REF!</v>
      </c>
    </row>
    <row r="4" spans="1:5" x14ac:dyDescent="0.2">
      <c r="A4" s="51" t="s">
        <v>102</v>
      </c>
      <c r="B4" s="102" t="e">
        <f>'Haustechnikvarianten berechnen'!#REF!/1.1</f>
        <v>#REF!</v>
      </c>
      <c r="E4" s="102" t="e">
        <f>'Haustechnikvarianten berechnen'!#REF!/1.1</f>
        <v>#REF!</v>
      </c>
    </row>
    <row r="5" spans="1:5" x14ac:dyDescent="0.2">
      <c r="A5" s="51" t="s">
        <v>105</v>
      </c>
      <c r="B5" s="102">
        <f>'Haustechnikvarianten berechnen'!B23</f>
        <v>1000</v>
      </c>
      <c r="E5" s="102">
        <f>B5</f>
        <v>1000</v>
      </c>
    </row>
    <row r="6" spans="1:5" x14ac:dyDescent="0.2">
      <c r="A6" s="51" t="s">
        <v>107</v>
      </c>
      <c r="B6" s="102">
        <f>'Haustechnikvarianten berechnen'!B11</f>
        <v>4600</v>
      </c>
      <c r="E6" s="102">
        <f>B6</f>
        <v>4600</v>
      </c>
    </row>
    <row r="7" spans="1:5" x14ac:dyDescent="0.2">
      <c r="A7" s="51" t="s">
        <v>96</v>
      </c>
      <c r="B7" t="e">
        <f>10*ROUND((10*B3+340)/10,0)</f>
        <v>#REF!</v>
      </c>
      <c r="E7" t="e">
        <f>10*ROUND(1.3*(10*E3+340)/10,0)</f>
        <v>#REF!</v>
      </c>
    </row>
    <row r="8" spans="1:5" x14ac:dyDescent="0.2">
      <c r="A8" s="51" t="s">
        <v>97</v>
      </c>
      <c r="B8" t="e">
        <f>10*ROUND(B3*B4*B5/1000*B7/10,0)</f>
        <v>#REF!</v>
      </c>
      <c r="E8" t="e">
        <f>10*ROUND(E3*E4*E5/1000*E7/10,0)</f>
        <v>#REF!</v>
      </c>
    </row>
    <row r="9" spans="1:5" x14ac:dyDescent="0.2">
      <c r="A9" s="51" t="s">
        <v>106</v>
      </c>
      <c r="B9" t="e">
        <f>IF(B8&gt;0.7*B6,B6*0.7,B8)</f>
        <v>#REF!</v>
      </c>
      <c r="E9" t="e">
        <f>IF(E8&gt;0.7*E6,E6*0.7,E8)</f>
        <v>#REF!</v>
      </c>
    </row>
    <row r="12" spans="1:5" x14ac:dyDescent="0.2">
      <c r="A12" s="51" t="s">
        <v>108</v>
      </c>
      <c r="E12" s="51" t="s">
        <v>92</v>
      </c>
    </row>
    <row r="14" spans="1:5" x14ac:dyDescent="0.2">
      <c r="A14" s="51" t="s">
        <v>94</v>
      </c>
      <c r="C14" t="e">
        <f>'Haustechnikvarianten berechnen'!#REF!</f>
        <v>#REF!</v>
      </c>
      <c r="E14" t="e">
        <f>'Haustechnikvarianten berechnen'!#REF!</f>
        <v>#REF!</v>
      </c>
    </row>
    <row r="15" spans="1:5" x14ac:dyDescent="0.2">
      <c r="A15" s="51" t="s">
        <v>102</v>
      </c>
      <c r="C15" s="4" t="e">
        <f>'Haustechnikvarianten berechnen'!#REF!/1.1</f>
        <v>#REF!</v>
      </c>
      <c r="E15" s="4" t="e">
        <f>'Haustechnikvarianten berechnen'!#REF!/1.1</f>
        <v>#REF!</v>
      </c>
    </row>
    <row r="16" spans="1:5" x14ac:dyDescent="0.2">
      <c r="A16" s="51" t="s">
        <v>105</v>
      </c>
      <c r="C16" s="102">
        <f>B5</f>
        <v>1000</v>
      </c>
      <c r="E16" s="102">
        <f>C16</f>
        <v>1000</v>
      </c>
    </row>
    <row r="17" spans="1:5" x14ac:dyDescent="0.2">
      <c r="A17" s="51" t="s">
        <v>107</v>
      </c>
      <c r="C17" s="102">
        <f>B6-'Haustechnikvarianten berechnen'!B12</f>
        <v>1600</v>
      </c>
      <c r="E17" s="102">
        <f>C17</f>
        <v>1600</v>
      </c>
    </row>
    <row r="18" spans="1:5" x14ac:dyDescent="0.2">
      <c r="A18" s="51" t="s">
        <v>112</v>
      </c>
      <c r="C18" s="102">
        <f>'Haustechnikvarianten berechnen'!B69</f>
        <v>17520</v>
      </c>
      <c r="E18" s="102">
        <f>C18</f>
        <v>17520</v>
      </c>
    </row>
    <row r="19" spans="1:5" x14ac:dyDescent="0.2">
      <c r="A19" s="51" t="s">
        <v>109</v>
      </c>
      <c r="C19" t="e">
        <f>'Haustechnikvarianten berechnen'!#REF!</f>
        <v>#REF!</v>
      </c>
      <c r="E19" t="e">
        <f>'Haustechnikvarianten berechnen'!#REF!</f>
        <v>#REF!</v>
      </c>
    </row>
    <row r="20" spans="1:5" x14ac:dyDescent="0.2">
      <c r="A20" s="51" t="s">
        <v>96</v>
      </c>
      <c r="C20" t="e">
        <f>IF(C14&lt;=12,360,10*ROUND((400 -90*C14/27)/10,0))</f>
        <v>#REF!</v>
      </c>
      <c r="E20" t="e">
        <f>IF(E14&lt;=12,360,10*ROUND((400 -90*E14/27)/10,0))</f>
        <v>#REF!</v>
      </c>
    </row>
    <row r="21" spans="1:5" x14ac:dyDescent="0.2">
      <c r="A21" s="51" t="s">
        <v>126</v>
      </c>
      <c r="C21" t="e">
        <f>IF(C17&gt;=3200,IF(C14&lt;20,10*ROUND((C20-30+0.01875*C17)/10,0),C20),C20)</f>
        <v>#REF!</v>
      </c>
      <c r="E21" t="e">
        <f>IF(E17&gt;=3200,IF(E14&lt;20,10*ROUND((E20-30+0.01875*E17)/10,0),E20),E20)</f>
        <v>#REF!</v>
      </c>
    </row>
    <row r="22" spans="1:5" x14ac:dyDescent="0.2">
      <c r="A22" s="51" t="s">
        <v>127</v>
      </c>
      <c r="C22" t="e">
        <f>IF(C18&lt;5000,10*ROUND((C20-26.666+2.222*C14)/10,0),C21)</f>
        <v>#REF!</v>
      </c>
      <c r="E22" t="e">
        <f>IF(E18&lt;5000,10*ROUND((E20-26.666+2.222*E14)/10,0),E21)</f>
        <v>#REF!</v>
      </c>
    </row>
    <row r="23" spans="1:5" x14ac:dyDescent="0.2">
      <c r="A23" s="51" t="s">
        <v>124</v>
      </c>
      <c r="C23" t="e">
        <f>10*ROUND((-1.428*C19+C22+50)/10,0)</f>
        <v>#REF!</v>
      </c>
      <c r="E23" t="e">
        <f>10*ROUND((-1.428*E19+E22+50)/10,0)</f>
        <v>#REF!</v>
      </c>
    </row>
    <row r="24" spans="1:5" x14ac:dyDescent="0.2">
      <c r="A24" s="51" t="s">
        <v>97</v>
      </c>
      <c r="C24" t="e">
        <f>10*ROUND(C14*C15*C16/1000*C23/10,0)</f>
        <v>#REF!</v>
      </c>
      <c r="E24" t="e">
        <f>10*ROUND(1.2*E14*E15*E16/1000*E23/10,0)</f>
        <v>#REF!</v>
      </c>
    </row>
    <row r="25" spans="1:5" x14ac:dyDescent="0.2">
      <c r="A25" s="51" t="s">
        <v>106</v>
      </c>
      <c r="C25" t="e">
        <f>IF(C24&gt;0.9*(C17+C18),0.9*(C17+C18),C24)</f>
        <v>#REF!</v>
      </c>
      <c r="E25" t="e">
        <f>IF(E24&gt;0.9*(E17+E18),0.9*(E17+E18),E24)</f>
        <v>#REF!</v>
      </c>
    </row>
    <row r="27" spans="1:5" x14ac:dyDescent="0.2">
      <c r="A27" s="51" t="s">
        <v>93</v>
      </c>
    </row>
    <row r="29" spans="1:5" x14ac:dyDescent="0.2">
      <c r="A29" s="51" t="s">
        <v>94</v>
      </c>
      <c r="C29" t="e">
        <f>'Haustechnikvarianten berechnen'!#REF!</f>
        <v>#REF!</v>
      </c>
    </row>
    <row r="30" spans="1:5" x14ac:dyDescent="0.2">
      <c r="A30" s="51" t="s">
        <v>102</v>
      </c>
      <c r="C30" s="4" t="e">
        <f>'Haustechnikvarianten berechnen'!#REF!/1.1</f>
        <v>#REF!</v>
      </c>
    </row>
    <row r="31" spans="1:5" x14ac:dyDescent="0.2">
      <c r="A31" s="51" t="s">
        <v>105</v>
      </c>
      <c r="C31" s="102">
        <f>C16</f>
        <v>1000</v>
      </c>
    </row>
    <row r="32" spans="1:5" x14ac:dyDescent="0.2">
      <c r="A32" s="51" t="s">
        <v>112</v>
      </c>
      <c r="C32" s="102">
        <f>C18</f>
        <v>17520</v>
      </c>
    </row>
    <row r="33" spans="1:8" x14ac:dyDescent="0.2">
      <c r="A33" s="51" t="s">
        <v>96</v>
      </c>
      <c r="C33">
        <f>IF(C32&gt;=18100,440,IF(C32&gt;=11000,10*ROUND((440-80*(11300/C32)^2)/10,0),370))</f>
        <v>410</v>
      </c>
    </row>
    <row r="34" spans="1:8" x14ac:dyDescent="0.2">
      <c r="A34" s="51" t="s">
        <v>97</v>
      </c>
      <c r="C34" t="e">
        <f>10*ROUND(C29*C30*C31/1000*C33/10,0)</f>
        <v>#REF!</v>
      </c>
    </row>
    <row r="35" spans="1:8" x14ac:dyDescent="0.2">
      <c r="A35" s="51" t="s">
        <v>106</v>
      </c>
      <c r="C35" t="e">
        <f>IF(C34&gt;C32,C32,C34)</f>
        <v>#REF!</v>
      </c>
    </row>
    <row r="38" spans="1:8" x14ac:dyDescent="0.2">
      <c r="A38" t="s">
        <v>110</v>
      </c>
    </row>
    <row r="39" spans="1:8" x14ac:dyDescent="0.2">
      <c r="A39" t="s">
        <v>111</v>
      </c>
      <c r="C39">
        <v>1600</v>
      </c>
      <c r="D39">
        <v>3200</v>
      </c>
      <c r="E39">
        <v>0</v>
      </c>
      <c r="H39" s="113">
        <v>3200</v>
      </c>
    </row>
    <row r="40" spans="1:8" x14ac:dyDescent="0.2">
      <c r="A40" t="s">
        <v>112</v>
      </c>
      <c r="C40">
        <v>18100</v>
      </c>
      <c r="D40">
        <v>11300</v>
      </c>
      <c r="E40">
        <v>1800</v>
      </c>
      <c r="F40">
        <v>0</v>
      </c>
      <c r="H40" s="113">
        <v>11000</v>
      </c>
    </row>
    <row r="41" spans="1:8" x14ac:dyDescent="0.2">
      <c r="A41" t="s">
        <v>113</v>
      </c>
      <c r="C41">
        <v>35</v>
      </c>
      <c r="D41">
        <v>70</v>
      </c>
      <c r="H41" s="113">
        <v>35</v>
      </c>
    </row>
    <row r="42" spans="1:8" x14ac:dyDescent="0.2">
      <c r="A42" t="s">
        <v>114</v>
      </c>
      <c r="C42" t="s">
        <v>115</v>
      </c>
      <c r="D42" t="s">
        <v>116</v>
      </c>
      <c r="E42" t="s">
        <v>117</v>
      </c>
    </row>
    <row r="43" spans="1:8" x14ac:dyDescent="0.2">
      <c r="A43" t="s">
        <v>94</v>
      </c>
      <c r="C43">
        <v>3</v>
      </c>
      <c r="D43">
        <v>6</v>
      </c>
      <c r="E43">
        <v>12</v>
      </c>
      <c r="F43">
        <v>21</v>
      </c>
      <c r="G43">
        <v>39</v>
      </c>
      <c r="H43" s="113">
        <v>3</v>
      </c>
    </row>
    <row r="45" spans="1:8" x14ac:dyDescent="0.2">
      <c r="A45" t="s">
        <v>118</v>
      </c>
    </row>
    <row r="46" spans="1:8" x14ac:dyDescent="0.2">
      <c r="A46" t="s">
        <v>119</v>
      </c>
      <c r="C46" t="s">
        <v>120</v>
      </c>
      <c r="E46">
        <f>IF(H40&gt;=18100,440,IF(H40&gt;=11000,10*ROUND((440-80*(11300/H40)^2)/10,0),370))</f>
        <v>360</v>
      </c>
    </row>
    <row r="47" spans="1:8" x14ac:dyDescent="0.2">
      <c r="C47" t="s">
        <v>121</v>
      </c>
      <c r="E47">
        <f>IF(H43&lt;=12,360,10*ROUND((400 -90*H43/27)/10,0))</f>
        <v>360</v>
      </c>
    </row>
    <row r="48" spans="1:8" x14ac:dyDescent="0.2">
      <c r="C48" t="s">
        <v>122</v>
      </c>
      <c r="E48">
        <f>IF(H39&gt;=3200,IF(H43&lt;20,10*ROUND((E47-30+0.01875*H39)/10,0),E47),E47)</f>
        <v>390</v>
      </c>
    </row>
    <row r="49" spans="1:6" x14ac:dyDescent="0.2">
      <c r="C49" t="s">
        <v>123</v>
      </c>
      <c r="E49">
        <f>IF(H40&lt;5000,10*ROUND((E47-26.666+2.222*H43)/10,0),E48)</f>
        <v>390</v>
      </c>
    </row>
    <row r="50" spans="1:6" x14ac:dyDescent="0.2">
      <c r="C50" t="s">
        <v>124</v>
      </c>
      <c r="E50">
        <f>10*ROUND((-1.428*H41+E49+50)/10,0)</f>
        <v>390</v>
      </c>
    </row>
    <row r="51" spans="1:6" x14ac:dyDescent="0.2">
      <c r="C51" t="s">
        <v>116</v>
      </c>
      <c r="E51">
        <f>10*ROUND(1.19*E50/10,0)</f>
        <v>460</v>
      </c>
    </row>
    <row r="52" spans="1:6" x14ac:dyDescent="0.2">
      <c r="C52" t="s">
        <v>125</v>
      </c>
      <c r="E52">
        <f>10*ROUND((10*H43+340)/10,0)</f>
        <v>370</v>
      </c>
    </row>
    <row r="55" spans="1:6" x14ac:dyDescent="0.2">
      <c r="A55" s="51" t="s">
        <v>194</v>
      </c>
      <c r="C55">
        <f>'Haustechnikvarianten berechnen'!C41</f>
        <v>4</v>
      </c>
      <c r="D55">
        <f>'Haustechnikvarianten berechnen'!D41</f>
        <v>4</v>
      </c>
      <c r="E55">
        <f>'Haustechnikvarianten berechnen'!E41</f>
        <v>4</v>
      </c>
      <c r="F55">
        <f>'Haustechnikvarianten berechnen'!F41</f>
        <v>4</v>
      </c>
    </row>
    <row r="56" spans="1:6" x14ac:dyDescent="0.2">
      <c r="A56" s="51" t="s">
        <v>195</v>
      </c>
      <c r="C56">
        <f>'Haustechnikvarianten berechnen'!C72</f>
        <v>900</v>
      </c>
      <c r="D56">
        <f>'Haustechnikvarianten berechnen'!D72</f>
        <v>900</v>
      </c>
      <c r="E56">
        <f>'Haustechnikvarianten berechnen'!E72</f>
        <v>900</v>
      </c>
      <c r="F56">
        <f>'Haustechnikvarianten berechnen'!F72</f>
        <v>900</v>
      </c>
    </row>
    <row r="57" spans="1:6" x14ac:dyDescent="0.2">
      <c r="A57" s="51" t="s">
        <v>196</v>
      </c>
      <c r="C57">
        <f>'Haustechnikvarianten berechnen'!B81</f>
        <v>4000</v>
      </c>
      <c r="D57">
        <f>C57</f>
        <v>4000</v>
      </c>
      <c r="E57">
        <f>D57</f>
        <v>4000</v>
      </c>
      <c r="F57">
        <f t="shared" ref="F57" si="0">E57</f>
        <v>4000</v>
      </c>
    </row>
    <row r="58" spans="1:6" x14ac:dyDescent="0.2">
      <c r="A58" s="51" t="s">
        <v>197</v>
      </c>
      <c r="C58">
        <v>0</v>
      </c>
      <c r="D58">
        <v>0</v>
      </c>
      <c r="E58">
        <v>0</v>
      </c>
      <c r="F58">
        <v>0</v>
      </c>
    </row>
    <row r="59" spans="1:6" x14ac:dyDescent="0.2">
      <c r="A59" s="51" t="s">
        <v>198</v>
      </c>
      <c r="C59">
        <v>0</v>
      </c>
      <c r="D59">
        <v>0</v>
      </c>
      <c r="E59">
        <v>0</v>
      </c>
      <c r="F59">
        <v>0</v>
      </c>
    </row>
    <row r="60" spans="1:6" x14ac:dyDescent="0.2">
      <c r="A60" s="51" t="s">
        <v>227</v>
      </c>
      <c r="C60">
        <f>'Haustechnikvarianten berechnen'!C71</f>
        <v>800</v>
      </c>
      <c r="D60">
        <f>'Haustechnikvarianten berechnen'!D71</f>
        <v>4250</v>
      </c>
      <c r="E60">
        <f>'Haustechnikvarianten berechnen'!E71</f>
        <v>4780</v>
      </c>
      <c r="F60">
        <f>'Haustechnikvarianten berechnen'!F71</f>
        <v>4780</v>
      </c>
    </row>
    <row r="64" spans="1:6" x14ac:dyDescent="0.2">
      <c r="A64" s="122" t="s">
        <v>130</v>
      </c>
      <c r="B64" s="123"/>
      <c r="C64" s="134">
        <f t="shared" ref="C64:F65" si="1">C55</f>
        <v>4</v>
      </c>
      <c r="D64" s="134">
        <f t="shared" si="1"/>
        <v>4</v>
      </c>
      <c r="E64" s="134">
        <f t="shared" si="1"/>
        <v>4</v>
      </c>
      <c r="F64" s="134">
        <f t="shared" si="1"/>
        <v>4</v>
      </c>
    </row>
    <row r="65" spans="1:8" x14ac:dyDescent="0.2">
      <c r="A65" s="122" t="s">
        <v>131</v>
      </c>
      <c r="B65" s="122"/>
      <c r="C65" s="134">
        <f t="shared" si="1"/>
        <v>900</v>
      </c>
      <c r="D65" s="134">
        <f t="shared" si="1"/>
        <v>900</v>
      </c>
      <c r="E65" s="134">
        <f t="shared" si="1"/>
        <v>900</v>
      </c>
      <c r="F65" s="134">
        <f t="shared" si="1"/>
        <v>900</v>
      </c>
    </row>
    <row r="66" spans="1:8" x14ac:dyDescent="0.2">
      <c r="A66" s="122" t="s">
        <v>132</v>
      </c>
      <c r="B66" s="122"/>
      <c r="C66" s="134">
        <f>C$64*C$65</f>
        <v>3600</v>
      </c>
      <c r="D66" s="134">
        <f>D$64*D$65</f>
        <v>3600</v>
      </c>
      <c r="E66" s="134">
        <f t="shared" ref="E66:F66" si="2">E$64*E$65</f>
        <v>3600</v>
      </c>
      <c r="F66" s="134">
        <f t="shared" si="2"/>
        <v>3600</v>
      </c>
    </row>
    <row r="67" spans="1:8" x14ac:dyDescent="0.2">
      <c r="A67" s="122" t="s">
        <v>133</v>
      </c>
      <c r="B67" s="122"/>
      <c r="C67" s="134">
        <f>'Haustechnikvarianten berechnen'!C46</f>
        <v>0</v>
      </c>
      <c r="D67" s="134">
        <f>'Haustechnikvarianten berechnen'!D46</f>
        <v>0</v>
      </c>
      <c r="E67" s="134">
        <f>'Haustechnikvarianten berechnen'!E46</f>
        <v>0</v>
      </c>
      <c r="F67" s="134">
        <f>'Haustechnikvarianten berechnen'!F46</f>
        <v>0</v>
      </c>
    </row>
    <row r="68" spans="1:8" x14ac:dyDescent="0.2">
      <c r="A68" s="122" t="s">
        <v>134</v>
      </c>
      <c r="B68" s="122"/>
      <c r="C68" s="134">
        <f>C57</f>
        <v>4000</v>
      </c>
      <c r="D68" s="134">
        <f>D57</f>
        <v>4000</v>
      </c>
      <c r="E68" s="134">
        <f>E57</f>
        <v>4000</v>
      </c>
      <c r="F68" s="134">
        <f>F57</f>
        <v>4000</v>
      </c>
    </row>
    <row r="69" spans="1:8" x14ac:dyDescent="0.2">
      <c r="A69" s="122" t="s">
        <v>135</v>
      </c>
      <c r="B69" s="122"/>
      <c r="C69" s="134">
        <v>0</v>
      </c>
      <c r="D69" s="134">
        <v>0</v>
      </c>
      <c r="E69" s="134">
        <v>0</v>
      </c>
      <c r="F69" s="134">
        <v>0</v>
      </c>
    </row>
    <row r="70" spans="1:8" x14ac:dyDescent="0.2">
      <c r="A70" s="122" t="s">
        <v>136</v>
      </c>
      <c r="B70" s="122"/>
      <c r="C70" s="134">
        <f>C58</f>
        <v>0</v>
      </c>
      <c r="D70" s="134">
        <f>D58</f>
        <v>0</v>
      </c>
      <c r="E70" s="134">
        <f>E58</f>
        <v>0</v>
      </c>
      <c r="F70" s="134">
        <f>F58</f>
        <v>0</v>
      </c>
    </row>
    <row r="71" spans="1:8" x14ac:dyDescent="0.2">
      <c r="A71" s="122" t="s">
        <v>137</v>
      </c>
      <c r="B71" s="122"/>
      <c r="C71" s="134">
        <v>0</v>
      </c>
      <c r="D71" s="134">
        <v>0</v>
      </c>
      <c r="E71" s="134">
        <v>0</v>
      </c>
      <c r="F71" s="134">
        <v>0</v>
      </c>
    </row>
    <row r="72" spans="1:8" x14ac:dyDescent="0.2">
      <c r="A72" s="122" t="s">
        <v>138</v>
      </c>
      <c r="B72" s="122"/>
      <c r="C72" s="134">
        <f>C59</f>
        <v>0</v>
      </c>
      <c r="D72" s="134">
        <f>D59</f>
        <v>0</v>
      </c>
      <c r="E72" s="134">
        <f>E59</f>
        <v>0</v>
      </c>
      <c r="F72" s="134">
        <f>F59</f>
        <v>0</v>
      </c>
    </row>
    <row r="73" spans="1:8" x14ac:dyDescent="0.2">
      <c r="A73" s="122"/>
      <c r="B73" s="122"/>
      <c r="C73" s="134"/>
      <c r="D73" s="134"/>
      <c r="E73" s="134"/>
      <c r="F73" s="134"/>
    </row>
    <row r="74" spans="1:8" x14ac:dyDescent="0.2">
      <c r="A74" s="122" t="s">
        <v>139</v>
      </c>
      <c r="B74" s="122"/>
      <c r="C74" s="134">
        <f>C$66*MIN(0.6,1/(1+6*C$66/(C$71+C$72+0.0001)))</f>
        <v>1.6666666589506171E-5</v>
      </c>
      <c r="D74" s="134">
        <f>D$66*MIN(0.6,1/(1+6*D$66/(D$71+D$72+0.0001)))</f>
        <v>1.6666666589506171E-5</v>
      </c>
      <c r="E74" s="134">
        <f t="shared" ref="E74:F74" si="3">E$66*MIN(0.6,1/(1+6*E$66/(E$71+E$72+0.0001)))</f>
        <v>1.6666666589506171E-5</v>
      </c>
      <c r="F74" s="134">
        <f t="shared" si="3"/>
        <v>1.6666666589506171E-5</v>
      </c>
      <c r="G74" s="122"/>
      <c r="H74" s="133"/>
    </row>
    <row r="75" spans="1:8" x14ac:dyDescent="0.2">
      <c r="A75" s="122" t="s">
        <v>140</v>
      </c>
      <c r="B75" s="122"/>
      <c r="C75" s="134">
        <f>C$64*C$65/1025</f>
        <v>3.5121951219512195</v>
      </c>
      <c r="D75" s="134">
        <f>D$64*D$65/1025</f>
        <v>3.5121951219512195</v>
      </c>
      <c r="E75" s="134">
        <f t="shared" ref="E75:F75" si="4">E$64*E$65/1025</f>
        <v>3.5121951219512195</v>
      </c>
      <c r="F75" s="134">
        <f t="shared" si="4"/>
        <v>3.5121951219512195</v>
      </c>
    </row>
    <row r="76" spans="1:8" x14ac:dyDescent="0.2">
      <c r="A76" s="122" t="s">
        <v>141</v>
      </c>
      <c r="B76" s="122"/>
      <c r="C76" s="134">
        <f>0.05*C$69+0.5*C$70+C$74</f>
        <v>1.6666666589506171E-5</v>
      </c>
      <c r="D76" s="134">
        <f>0.05*D$69+0.5*D$70+D$74</f>
        <v>1.6666666589506171E-5</v>
      </c>
      <c r="E76" s="134">
        <f t="shared" ref="E76:F76" si="5">0.05*E$69+0.5*E$70+E$74</f>
        <v>1.6666666589506171E-5</v>
      </c>
      <c r="F76" s="134">
        <f t="shared" si="5"/>
        <v>1.6666666589506171E-5</v>
      </c>
      <c r="G76" s="133"/>
    </row>
    <row r="77" spans="1:8" x14ac:dyDescent="0.2">
      <c r="A77" s="122" t="s">
        <v>142</v>
      </c>
      <c r="B77" s="122"/>
      <c r="C77" s="134">
        <f>C$68*0.49</f>
        <v>1960</v>
      </c>
      <c r="D77" s="134">
        <f>D$68*0.49</f>
        <v>1960</v>
      </c>
      <c r="E77" s="134">
        <f t="shared" ref="E77:F77" si="6">E$68*0.49</f>
        <v>1960</v>
      </c>
      <c r="F77" s="134">
        <f t="shared" si="6"/>
        <v>1960</v>
      </c>
    </row>
    <row r="78" spans="1:8" x14ac:dyDescent="0.2">
      <c r="A78" s="122" t="s">
        <v>143</v>
      </c>
      <c r="B78" s="122"/>
      <c r="C78" s="134">
        <f>MIN(1,(0.2+0.8*C$75/9))</f>
        <v>0.51219512195121952</v>
      </c>
      <c r="D78" s="134">
        <f>MIN(1,(0.2+0.8*D$75/9))</f>
        <v>0.51219512195121952</v>
      </c>
      <c r="E78" s="134">
        <f t="shared" ref="E78:F78" si="7">MIN(1,(0.2+0.8*E$75/9))</f>
        <v>0.51219512195121952</v>
      </c>
      <c r="F78" s="134">
        <f t="shared" si="7"/>
        <v>0.51219512195121952</v>
      </c>
    </row>
    <row r="79" spans="1:8" x14ac:dyDescent="0.2">
      <c r="A79" s="122" t="s">
        <v>144</v>
      </c>
      <c r="B79" s="122"/>
      <c r="C79" s="134">
        <f>C$77+C$76*C$78</f>
        <v>1960.0000085365853</v>
      </c>
      <c r="D79" s="134">
        <f>D$77+D$76*D$78</f>
        <v>1960.0000085365853</v>
      </c>
      <c r="E79" s="134">
        <f t="shared" ref="E79:F79" si="8">E$77+E$76*E$78</f>
        <v>1960.0000085365853</v>
      </c>
      <c r="F79" s="134">
        <f t="shared" si="8"/>
        <v>1960.0000085365853</v>
      </c>
    </row>
    <row r="80" spans="1:8" x14ac:dyDescent="0.2">
      <c r="A80" s="122" t="s">
        <v>145</v>
      </c>
      <c r="B80" s="122"/>
      <c r="C80" s="134">
        <f>0.51*C$68+0.1*C$69+0.5*C$70</f>
        <v>2040</v>
      </c>
      <c r="D80" s="134">
        <f>0.51*D$68+0.1*D$69+0.5*D$70</f>
        <v>2040</v>
      </c>
      <c r="E80" s="134">
        <f t="shared" ref="E80:F80" si="9">0.51*E$68+0.1*E$69+0.5*E$70</f>
        <v>2040</v>
      </c>
      <c r="F80" s="134">
        <f t="shared" si="9"/>
        <v>2040</v>
      </c>
    </row>
    <row r="81" spans="1:6" x14ac:dyDescent="0.2">
      <c r="A81" s="122" t="s">
        <v>146</v>
      </c>
      <c r="B81" s="122"/>
      <c r="C81" s="134">
        <f>29.468*(C$67/C$75)/(29.468*C$67/C$75+1)*0.844*C$67/(C$80/1000+0.0000001)/(0.844*C$67/(C$80/1000+0.0000001)+1)</f>
        <v>0</v>
      </c>
      <c r="D81" s="134">
        <f>29.468*(D$67/D$75)/(29.468*D$67/D$75+1)*0.844*D$67/(D$80/1000+0.0000001)/(0.844*D$67/(D$80/1000+0.0000001)+1)</f>
        <v>0</v>
      </c>
      <c r="E81" s="134">
        <f t="shared" ref="E81:F81" si="10">29.468*(E$67/E$75)/(29.468*E$67/E$75+1)*0.844*E$67/(E$80/1000+0.0000001)/(0.844*E$67/(E$80/1000+0.0000001)+1)</f>
        <v>0</v>
      </c>
      <c r="F81" s="134">
        <f t="shared" si="10"/>
        <v>0</v>
      </c>
    </row>
    <row r="82" spans="1:6" x14ac:dyDescent="0.2">
      <c r="A82" s="122" t="s">
        <v>147</v>
      </c>
      <c r="B82" s="122"/>
      <c r="C82" s="134">
        <f>MIN(1,1.05/(1+0.982*(C$66/MAX(1,C$79))^1.0378)+(C$81*2.305)/(1+1.961*(C$66/MAX(1,C$80))^0.947)-0.05/(1+(1-C$83)^2))</f>
        <v>0.31948726934688249</v>
      </c>
      <c r="D82" s="134">
        <f>MIN(1,1.05/(1+0.982*(D$66/MAX(1,D$79))^1.0378)+(D$81*2.305)/(1+1.961*(D$66/MAX(1,D$80))^0.947)-0.05/(1+(1-D$83)^2))</f>
        <v>0.31948726934688249</v>
      </c>
      <c r="E82" s="134">
        <f t="shared" ref="E82:F82" si="11">MIN(1,1.05/(1+0.982*(E$66/MAX(1,E$79))^1.0378)+(E$81*2.305)/(1+1.961*(E$66/MAX(1,E$80))^0.947)-0.05/(1+(1-E$83)^2))</f>
        <v>0.31948726934688249</v>
      </c>
      <c r="F82" s="134">
        <f t="shared" si="11"/>
        <v>0.31948726934688249</v>
      </c>
    </row>
    <row r="83" spans="1:6" x14ac:dyDescent="0.2">
      <c r="A83" s="122" t="s">
        <v>148</v>
      </c>
      <c r="B83" s="122"/>
      <c r="C83" s="134">
        <f>C$66/(C$68+1)</f>
        <v>0.89977505623594101</v>
      </c>
      <c r="D83" s="134">
        <f>D$66/(D$68+1)</f>
        <v>0.89977505623594101</v>
      </c>
      <c r="E83" s="134">
        <f t="shared" ref="E83:F83" si="12">E$66/(E$68+1)</f>
        <v>0.89977505623594101</v>
      </c>
      <c r="F83" s="134">
        <f t="shared" si="12"/>
        <v>0.89977505623594101</v>
      </c>
    </row>
    <row r="84" spans="1:6" x14ac:dyDescent="0.2">
      <c r="A84" s="122" t="s">
        <v>149</v>
      </c>
      <c r="B84" s="122"/>
      <c r="C84" s="134">
        <f>MIN(1,1.05/(1+0.982*(C$66/MAX(1,C$79))^1.0378)+0*(C$81*2.305)/(1+1.961*(C$66/MAX(1,C$80))^0.947)-0.05/(1+(1-C$83)^2))</f>
        <v>0.31948726934688249</v>
      </c>
      <c r="D84" s="134">
        <f>MIN(1,1.05/(1+0.982*(D$66/MAX(1,D$79))^1.0378)+0*(D$81*2.305)/(1+1.961*(D$66/MAX(1,D$80))^0.947)-0.05/(1+(1-D$83)^2))</f>
        <v>0.31948726934688249</v>
      </c>
      <c r="E84" s="134">
        <f t="shared" ref="E84:F84" si="13">MIN(1,1.05/(1+0.982*(E$66/MAX(1,E$79))^1.0378)+0*(E$81*2.305)/(1+1.961*(E$66/MAX(1,E$80))^0.947)-0.05/(1+(1-E$83)^2))</f>
        <v>0.31948726934688249</v>
      </c>
      <c r="F84" s="134">
        <f t="shared" si="13"/>
        <v>0.31948726934688249</v>
      </c>
    </row>
    <row r="85" spans="1:6" x14ac:dyDescent="0.2">
      <c r="A85" s="122"/>
      <c r="B85" s="122"/>
      <c r="C85" s="134"/>
      <c r="D85" s="134"/>
      <c r="E85" s="134"/>
      <c r="F85" s="134"/>
    </row>
    <row r="86" spans="1:6" x14ac:dyDescent="0.2">
      <c r="A86" s="122" t="s">
        <v>150</v>
      </c>
      <c r="B86" s="122"/>
      <c r="C86" s="134">
        <v>0.2</v>
      </c>
      <c r="D86" s="134">
        <v>0.2</v>
      </c>
      <c r="E86" s="134">
        <v>0.2</v>
      </c>
      <c r="F86" s="134">
        <v>0.2</v>
      </c>
    </row>
    <row r="87" spans="1:6" x14ac:dyDescent="0.2">
      <c r="A87" s="122" t="s">
        <v>151</v>
      </c>
      <c r="B87" s="122"/>
      <c r="C87" s="134">
        <f>(C$82-C$84)*C$66</f>
        <v>0</v>
      </c>
      <c r="D87" s="134">
        <f>(D$82-D$84)*D$66</f>
        <v>0</v>
      </c>
      <c r="E87" s="134">
        <f t="shared" ref="E87:F87" si="14">(E$82-E$84)*E$66</f>
        <v>0</v>
      </c>
      <c r="F87" s="134">
        <f t="shared" si="14"/>
        <v>0</v>
      </c>
    </row>
    <row r="88" spans="1:6" x14ac:dyDescent="0.2">
      <c r="A88" s="122" t="s">
        <v>152</v>
      </c>
      <c r="B88" s="122"/>
      <c r="C88" s="134">
        <f>C$86*C$87</f>
        <v>0</v>
      </c>
      <c r="D88" s="134">
        <f>D$86*D$87</f>
        <v>0</v>
      </c>
      <c r="E88" s="134">
        <f t="shared" ref="E88:F88" si="15">E$86*E$87</f>
        <v>0</v>
      </c>
      <c r="F88" s="134">
        <f t="shared" si="15"/>
        <v>0</v>
      </c>
    </row>
    <row r="89" spans="1:6" x14ac:dyDescent="0.2">
      <c r="A89" s="122" t="s">
        <v>153</v>
      </c>
      <c r="B89" s="122"/>
      <c r="C89" s="134">
        <f>C$82*C$66-C$88</f>
        <v>1150.154169648777</v>
      </c>
      <c r="D89" s="134">
        <f>D$82*D$66-D$88</f>
        <v>1150.154169648777</v>
      </c>
      <c r="E89" s="134">
        <f t="shared" ref="E89:F89" si="16">E$82*E$66-E$88</f>
        <v>1150.154169648777</v>
      </c>
      <c r="F89" s="134">
        <f t="shared" si="16"/>
        <v>1150.154169648777</v>
      </c>
    </row>
    <row r="91" spans="1:6" x14ac:dyDescent="0.2">
      <c r="A91" s="122" t="s">
        <v>199</v>
      </c>
      <c r="C91" s="134"/>
      <c r="D91" s="134"/>
    </row>
    <row r="92" spans="1:6" x14ac:dyDescent="0.2">
      <c r="A92" s="122" t="s">
        <v>226</v>
      </c>
      <c r="C92" s="134">
        <f>10*ROUND(C89/C68*C60/10,0)</f>
        <v>230</v>
      </c>
      <c r="D92" s="134">
        <f>MAX(10*ROUND(D89/D68*D60/30,0),10*ROUND((0.2*D66-D89-D88)/10,0))</f>
        <v>410</v>
      </c>
      <c r="E92" s="134">
        <f t="shared" ref="E92:F92" si="17">MAX(10*ROUND(E89/E68*E60/30,0),10*ROUND((0.2*E66-E89-E88)/10,0))</f>
        <v>460</v>
      </c>
      <c r="F92" s="134">
        <f t="shared" si="17"/>
        <v>460</v>
      </c>
    </row>
    <row r="93" spans="1:6" x14ac:dyDescent="0.2">
      <c r="A93" s="122" t="s">
        <v>200</v>
      </c>
      <c r="C93" s="134">
        <f>10*ROUND(C89/10,0)</f>
        <v>1150</v>
      </c>
      <c r="D93" s="134">
        <f>10*ROUND(D89/10,0)</f>
        <v>1150</v>
      </c>
      <c r="E93" s="134">
        <f t="shared" ref="E93:F93" si="18">10*ROUND(E89/10,0)</f>
        <v>1150</v>
      </c>
      <c r="F93" s="134">
        <f t="shared" si="18"/>
        <v>1150</v>
      </c>
    </row>
    <row r="94" spans="1:6" x14ac:dyDescent="0.2">
      <c r="A94" s="122" t="s">
        <v>201</v>
      </c>
      <c r="C94" s="134">
        <f>10*ROUND((C66-C88-C93-C92)/10,0)</f>
        <v>2220</v>
      </c>
      <c r="D94" s="134">
        <f>10*ROUND((D66-D88-D93-D92)/10,0)</f>
        <v>2040</v>
      </c>
      <c r="E94" s="134">
        <f t="shared" ref="E94:F94" si="19">10*ROUND((E66-E88-E93-E92)/10,0)</f>
        <v>1990</v>
      </c>
      <c r="F94" s="134">
        <f t="shared" si="19"/>
        <v>1990</v>
      </c>
    </row>
    <row r="97" spans="1:12" x14ac:dyDescent="0.2">
      <c r="A97" s="122" t="s">
        <v>154</v>
      </c>
      <c r="B97" s="51" t="s">
        <v>188</v>
      </c>
      <c r="C97" s="125" t="e">
        <f>'Haustechnikvarianten berechnen'!#REF!</f>
        <v>#REF!</v>
      </c>
      <c r="E97" s="51" t="s">
        <v>96</v>
      </c>
      <c r="F97" s="125" t="e">
        <f>'Haustechnikvarianten berechnen'!#REF!</f>
        <v>#REF!</v>
      </c>
      <c r="H97" t="e">
        <f>C97*F97</f>
        <v>#REF!</v>
      </c>
    </row>
    <row r="100" spans="1:12" x14ac:dyDescent="0.2">
      <c r="A100" t="s">
        <v>164</v>
      </c>
      <c r="B100" t="s">
        <v>165</v>
      </c>
      <c r="H100" t="s">
        <v>167</v>
      </c>
      <c r="I100" s="125" t="e">
        <f>'Haustechnikvarianten berechnen'!#REF!</f>
        <v>#REF!</v>
      </c>
      <c r="J100" t="s">
        <v>15</v>
      </c>
      <c r="K100" s="102" t="e">
        <f>I100/365</f>
        <v>#REF!</v>
      </c>
      <c r="L100" t="s">
        <v>166</v>
      </c>
    </row>
    <row r="101" spans="1:12" x14ac:dyDescent="0.2">
      <c r="B101" t="s">
        <v>168</v>
      </c>
    </row>
    <row r="102" spans="1:12" x14ac:dyDescent="0.2">
      <c r="A102" s="126" t="s">
        <v>169</v>
      </c>
      <c r="B102" s="126" t="s">
        <v>170</v>
      </c>
      <c r="C102" s="126" t="s">
        <v>171</v>
      </c>
      <c r="D102" s="126" t="s">
        <v>172</v>
      </c>
      <c r="E102" s="126" t="s">
        <v>173</v>
      </c>
      <c r="F102" s="132" t="s">
        <v>189</v>
      </c>
      <c r="G102" s="132" t="s">
        <v>190</v>
      </c>
      <c r="H102" s="126" t="s">
        <v>174</v>
      </c>
    </row>
    <row r="103" spans="1:12" x14ac:dyDescent="0.2">
      <c r="A103" s="126" t="s">
        <v>175</v>
      </c>
      <c r="B103" s="126">
        <v>31</v>
      </c>
      <c r="C103" s="127">
        <v>155.31</v>
      </c>
      <c r="D103" s="128">
        <v>1.4314285714285713</v>
      </c>
      <c r="E103" s="126">
        <v>7</v>
      </c>
      <c r="F103" s="127" t="e">
        <f>C103/$C$115*$H$97</f>
        <v>#REF!</v>
      </c>
      <c r="G103" s="127" t="e">
        <f>$K$100*B103</f>
        <v>#REF!</v>
      </c>
      <c r="H103" s="127" t="e">
        <f>IF(F103&gt;G103,G103,F103)</f>
        <v>#REF!</v>
      </c>
    </row>
    <row r="104" spans="1:12" x14ac:dyDescent="0.2">
      <c r="A104" s="126" t="s">
        <v>176</v>
      </c>
      <c r="B104" s="126">
        <v>28</v>
      </c>
      <c r="C104" s="127">
        <v>222.6</v>
      </c>
      <c r="D104" s="128">
        <v>1.8705882352941177</v>
      </c>
      <c r="E104" s="126">
        <v>8.5</v>
      </c>
      <c r="F104" s="127" t="e">
        <f t="shared" ref="F104:F114" si="20">C104/$C$115*$H$97</f>
        <v>#REF!</v>
      </c>
      <c r="G104" s="127" t="e">
        <f t="shared" ref="G104:G114" si="21">$K$100*B104</f>
        <v>#REF!</v>
      </c>
      <c r="H104" s="127" t="e">
        <f t="shared" ref="H104:H114" si="22">IF(F104&gt;G104,G104,F104)</f>
        <v>#REF!</v>
      </c>
    </row>
    <row r="105" spans="1:12" x14ac:dyDescent="0.2">
      <c r="A105" s="126" t="s">
        <v>177</v>
      </c>
      <c r="B105" s="126">
        <v>31</v>
      </c>
      <c r="C105" s="127">
        <v>452.6</v>
      </c>
      <c r="D105" s="128">
        <v>2.8627450980392157</v>
      </c>
      <c r="E105" s="126">
        <v>10.199999999999999</v>
      </c>
      <c r="F105" s="127" t="e">
        <f t="shared" si="20"/>
        <v>#REF!</v>
      </c>
      <c r="G105" s="127" t="e">
        <f t="shared" si="21"/>
        <v>#REF!</v>
      </c>
      <c r="H105" s="127" t="e">
        <f t="shared" si="22"/>
        <v>#REF!</v>
      </c>
    </row>
    <row r="106" spans="1:12" x14ac:dyDescent="0.2">
      <c r="A106" s="126" t="s">
        <v>178</v>
      </c>
      <c r="B106" s="126">
        <v>30</v>
      </c>
      <c r="C106" s="127">
        <v>570</v>
      </c>
      <c r="D106" s="128">
        <v>3.1147540983606561</v>
      </c>
      <c r="E106" s="126">
        <v>12.2</v>
      </c>
      <c r="F106" s="127" t="e">
        <f t="shared" si="20"/>
        <v>#REF!</v>
      </c>
      <c r="G106" s="127" t="e">
        <f t="shared" si="21"/>
        <v>#REF!</v>
      </c>
      <c r="H106" s="127" t="e">
        <f t="shared" si="22"/>
        <v>#REF!</v>
      </c>
    </row>
    <row r="107" spans="1:12" x14ac:dyDescent="0.2">
      <c r="A107" s="126" t="s">
        <v>179</v>
      </c>
      <c r="B107" s="126">
        <v>31</v>
      </c>
      <c r="C107" s="127">
        <v>598.29999999999995</v>
      </c>
      <c r="D107" s="128">
        <v>2.9242424242424243</v>
      </c>
      <c r="E107" s="126">
        <v>13.2</v>
      </c>
      <c r="F107" s="127" t="e">
        <f t="shared" si="20"/>
        <v>#REF!</v>
      </c>
      <c r="G107" s="127" t="e">
        <f t="shared" si="21"/>
        <v>#REF!</v>
      </c>
      <c r="H107" s="127" t="e">
        <f t="shared" si="22"/>
        <v>#REF!</v>
      </c>
    </row>
    <row r="108" spans="1:12" x14ac:dyDescent="0.2">
      <c r="A108" s="126" t="s">
        <v>180</v>
      </c>
      <c r="B108" s="126">
        <v>30</v>
      </c>
      <c r="C108" s="127">
        <v>579</v>
      </c>
      <c r="D108" s="128">
        <v>2.71830985915493</v>
      </c>
      <c r="E108" s="126">
        <v>14.2</v>
      </c>
      <c r="F108" s="127" t="e">
        <f t="shared" si="20"/>
        <v>#REF!</v>
      </c>
      <c r="G108" s="127" t="e">
        <f t="shared" si="21"/>
        <v>#REF!</v>
      </c>
      <c r="H108" s="127" t="e">
        <f t="shared" si="22"/>
        <v>#REF!</v>
      </c>
    </row>
    <row r="109" spans="1:12" x14ac:dyDescent="0.2">
      <c r="A109" s="126" t="s">
        <v>181</v>
      </c>
      <c r="B109" s="126">
        <v>31</v>
      </c>
      <c r="C109" s="127">
        <v>579.70000000000005</v>
      </c>
      <c r="D109" s="128">
        <v>2.615384615384615</v>
      </c>
      <c r="E109" s="126">
        <v>14.3</v>
      </c>
      <c r="F109" s="127" t="e">
        <f t="shared" si="20"/>
        <v>#REF!</v>
      </c>
      <c r="G109" s="127" t="e">
        <f t="shared" si="21"/>
        <v>#REF!</v>
      </c>
      <c r="H109" s="127" t="e">
        <f t="shared" si="22"/>
        <v>#REF!</v>
      </c>
    </row>
    <row r="110" spans="1:12" x14ac:dyDescent="0.2">
      <c r="A110" s="126" t="s">
        <v>182</v>
      </c>
      <c r="B110" s="126">
        <v>31</v>
      </c>
      <c r="C110" s="127">
        <v>554.9</v>
      </c>
      <c r="D110" s="128">
        <v>2.7121212121212119</v>
      </c>
      <c r="E110" s="126">
        <v>13.2</v>
      </c>
      <c r="F110" s="127" t="e">
        <f t="shared" si="20"/>
        <v>#REF!</v>
      </c>
      <c r="G110" s="127" t="e">
        <f t="shared" si="21"/>
        <v>#REF!</v>
      </c>
      <c r="H110" s="127" t="e">
        <f t="shared" si="22"/>
        <v>#REF!</v>
      </c>
    </row>
    <row r="111" spans="1:12" x14ac:dyDescent="0.2">
      <c r="A111" s="126" t="s">
        <v>183</v>
      </c>
      <c r="B111" s="126">
        <v>30</v>
      </c>
      <c r="C111" s="127">
        <v>441</v>
      </c>
      <c r="D111" s="128">
        <v>2.4098360655737707</v>
      </c>
      <c r="E111" s="126">
        <v>12.2</v>
      </c>
      <c r="F111" s="127" t="e">
        <f t="shared" si="20"/>
        <v>#REF!</v>
      </c>
      <c r="G111" s="127" t="e">
        <f t="shared" si="21"/>
        <v>#REF!</v>
      </c>
      <c r="H111" s="127" t="e">
        <f t="shared" si="22"/>
        <v>#REF!</v>
      </c>
    </row>
    <row r="112" spans="1:12" x14ac:dyDescent="0.2">
      <c r="A112" s="126" t="s">
        <v>184</v>
      </c>
      <c r="B112" s="126">
        <v>31</v>
      </c>
      <c r="C112" s="127">
        <v>341</v>
      </c>
      <c r="D112" s="128">
        <v>2</v>
      </c>
      <c r="E112" s="126">
        <v>11</v>
      </c>
      <c r="F112" s="127" t="e">
        <f t="shared" si="20"/>
        <v>#REF!</v>
      </c>
      <c r="G112" s="127" t="e">
        <f t="shared" si="21"/>
        <v>#REF!</v>
      </c>
      <c r="H112" s="127" t="e">
        <f t="shared" si="22"/>
        <v>#REF!</v>
      </c>
    </row>
    <row r="113" spans="1:14" x14ac:dyDescent="0.2">
      <c r="A113" s="126" t="s">
        <v>185</v>
      </c>
      <c r="B113" s="126">
        <v>30</v>
      </c>
      <c r="C113" s="127">
        <v>177.3</v>
      </c>
      <c r="D113" s="128">
        <v>1.3133333333333335</v>
      </c>
      <c r="E113" s="126">
        <v>9</v>
      </c>
      <c r="F113" s="127" t="e">
        <f t="shared" si="20"/>
        <v>#REF!</v>
      </c>
      <c r="G113" s="127" t="e">
        <f t="shared" si="21"/>
        <v>#REF!</v>
      </c>
      <c r="H113" s="127" t="e">
        <f t="shared" si="22"/>
        <v>#REF!</v>
      </c>
    </row>
    <row r="114" spans="1:14" x14ac:dyDescent="0.2">
      <c r="A114" s="126" t="s">
        <v>186</v>
      </c>
      <c r="B114" s="126">
        <v>31</v>
      </c>
      <c r="C114" s="127">
        <v>133.30000000000001</v>
      </c>
      <c r="D114" s="128">
        <v>1.2285714285714284</v>
      </c>
      <c r="E114" s="126">
        <v>7</v>
      </c>
      <c r="F114" s="127" t="e">
        <f t="shared" si="20"/>
        <v>#REF!</v>
      </c>
      <c r="G114" s="127" t="e">
        <f t="shared" si="21"/>
        <v>#REF!</v>
      </c>
      <c r="H114" s="127" t="e">
        <f t="shared" si="22"/>
        <v>#REF!</v>
      </c>
    </row>
    <row r="115" spans="1:14" x14ac:dyDescent="0.2">
      <c r="A115" s="129" t="s">
        <v>187</v>
      </c>
      <c r="B115" s="129">
        <v>365</v>
      </c>
      <c r="C115" s="130">
        <v>4805.01</v>
      </c>
      <c r="D115" s="126"/>
      <c r="E115" s="126"/>
      <c r="F115" s="127" t="e">
        <f>SUM(F103:F114)</f>
        <v>#REF!</v>
      </c>
      <c r="G115" s="127" t="e">
        <f>SUM(G103:G114)</f>
        <v>#REF!</v>
      </c>
      <c r="H115" s="127" t="e">
        <f>SUM(H103:H114)</f>
        <v>#REF!</v>
      </c>
    </row>
    <row r="117" spans="1:14" x14ac:dyDescent="0.2">
      <c r="I117" s="127"/>
    </row>
    <row r="118" spans="1:14" x14ac:dyDescent="0.2">
      <c r="A118" s="122" t="s">
        <v>155</v>
      </c>
      <c r="B118" s="51" t="s">
        <v>188</v>
      </c>
      <c r="C118" s="125" t="e">
        <f>'Haustechnikvarianten berechnen'!#REF!</f>
        <v>#REF!</v>
      </c>
      <c r="E118" s="51" t="s">
        <v>96</v>
      </c>
      <c r="F118" s="125" t="e">
        <f>'Haustechnikvarianten berechnen'!#REF!</f>
        <v>#REF!</v>
      </c>
      <c r="H118" t="e">
        <f>C118*F118</f>
        <v>#REF!</v>
      </c>
    </row>
    <row r="121" spans="1:14" x14ac:dyDescent="0.2">
      <c r="A121" t="s">
        <v>164</v>
      </c>
      <c r="B121" t="s">
        <v>165</v>
      </c>
      <c r="H121" t="s">
        <v>167</v>
      </c>
      <c r="I121" s="125" t="e">
        <f>'Haustechnikvarianten berechnen'!#REF!</f>
        <v>#REF!</v>
      </c>
      <c r="J121" t="s">
        <v>15</v>
      </c>
      <c r="K121" s="102" t="e">
        <f>I121/365</f>
        <v>#REF!</v>
      </c>
      <c r="L121" t="s">
        <v>166</v>
      </c>
      <c r="M121" s="51" t="s">
        <v>191</v>
      </c>
      <c r="N121" s="125" t="e">
        <f>'Haustechnikvarianten berechnen'!#REF!</f>
        <v>#REF!</v>
      </c>
    </row>
    <row r="122" spans="1:14" x14ac:dyDescent="0.2">
      <c r="B122" t="s">
        <v>168</v>
      </c>
    </row>
    <row r="123" spans="1:14" x14ac:dyDescent="0.2">
      <c r="A123" s="126" t="s">
        <v>169</v>
      </c>
      <c r="B123" s="126" t="s">
        <v>170</v>
      </c>
      <c r="C123" s="126" t="s">
        <v>171</v>
      </c>
      <c r="D123" s="126" t="s">
        <v>172</v>
      </c>
      <c r="E123" s="126" t="s">
        <v>173</v>
      </c>
      <c r="F123" s="132" t="s">
        <v>189</v>
      </c>
      <c r="G123" s="132" t="s">
        <v>190</v>
      </c>
      <c r="H123" s="126" t="s">
        <v>174</v>
      </c>
      <c r="I123" s="132" t="s">
        <v>192</v>
      </c>
      <c r="J123" s="132" t="s">
        <v>193</v>
      </c>
      <c r="K123" s="132" t="s">
        <v>174</v>
      </c>
    </row>
    <row r="124" spans="1:14" x14ac:dyDescent="0.2">
      <c r="A124" s="126" t="s">
        <v>175</v>
      </c>
      <c r="B124" s="126">
        <v>31</v>
      </c>
      <c r="C124" s="127">
        <v>155.31</v>
      </c>
      <c r="D124" s="128">
        <v>1.4314285714285713</v>
      </c>
      <c r="E124" s="126">
        <v>7</v>
      </c>
      <c r="F124" s="127" t="e">
        <f>C124/$C$136*$H$118</f>
        <v>#REF!</v>
      </c>
      <c r="G124" s="127" t="e">
        <f>$K$100*B124</f>
        <v>#REF!</v>
      </c>
      <c r="H124" s="127" t="e">
        <f>IF(F124&gt;G124,G124,F124)</f>
        <v>#REF!</v>
      </c>
      <c r="I124" s="127">
        <v>170</v>
      </c>
      <c r="J124" s="127" t="e">
        <f>$N$121*I124/$I$136</f>
        <v>#REF!</v>
      </c>
      <c r="K124" s="127" t="e">
        <f>IF((F124-H124)&gt;0,IF((F124-H124)&gt;J124,J124,(F124-H124)),0)</f>
        <v>#REF!</v>
      </c>
      <c r="L124" s="131" t="e">
        <f>H124+K124</f>
        <v>#REF!</v>
      </c>
    </row>
    <row r="125" spans="1:14" x14ac:dyDescent="0.2">
      <c r="A125" s="126" t="s">
        <v>176</v>
      </c>
      <c r="B125" s="126">
        <v>28</v>
      </c>
      <c r="C125" s="127">
        <v>222.6</v>
      </c>
      <c r="D125" s="128">
        <v>1.8705882352941177</v>
      </c>
      <c r="E125" s="126">
        <v>8.5</v>
      </c>
      <c r="F125" s="127" t="e">
        <f t="shared" ref="F125:F135" si="23">C125/$C$136*$H$118</f>
        <v>#REF!</v>
      </c>
      <c r="G125" s="127" t="e">
        <f t="shared" ref="G125:G135" si="24">$K$100*B125</f>
        <v>#REF!</v>
      </c>
      <c r="H125" s="127" t="e">
        <f t="shared" ref="H125:H135" si="25">IF(F125&gt;G125,G125,F125)</f>
        <v>#REF!</v>
      </c>
      <c r="I125" s="127">
        <v>150</v>
      </c>
      <c r="J125" s="127" t="e">
        <f t="shared" ref="J125:J135" si="26">$N$121*I125/$I$136</f>
        <v>#REF!</v>
      </c>
      <c r="K125" s="127" t="e">
        <f t="shared" ref="K125:K136" si="27">IF((F125-H125)&gt;0,IF((F125-H125)&gt;J125,J125,(F125-H125)),0)</f>
        <v>#REF!</v>
      </c>
      <c r="L125" s="131" t="e">
        <f t="shared" ref="L125:L135" si="28">H125+K125</f>
        <v>#REF!</v>
      </c>
    </row>
    <row r="126" spans="1:14" x14ac:dyDescent="0.2">
      <c r="A126" s="126" t="s">
        <v>177</v>
      </c>
      <c r="B126" s="126">
        <v>31</v>
      </c>
      <c r="C126" s="127">
        <v>452.6</v>
      </c>
      <c r="D126" s="128">
        <v>2.8627450980392157</v>
      </c>
      <c r="E126" s="126">
        <v>10.199999999999999</v>
      </c>
      <c r="F126" s="127" t="e">
        <f t="shared" si="23"/>
        <v>#REF!</v>
      </c>
      <c r="G126" s="127" t="e">
        <f t="shared" si="24"/>
        <v>#REF!</v>
      </c>
      <c r="H126" s="127" t="e">
        <f t="shared" si="25"/>
        <v>#REF!</v>
      </c>
      <c r="I126" s="127">
        <v>130</v>
      </c>
      <c r="J126" s="127" t="e">
        <f t="shared" si="26"/>
        <v>#REF!</v>
      </c>
      <c r="K126" s="127" t="e">
        <f t="shared" si="27"/>
        <v>#REF!</v>
      </c>
      <c r="L126" s="131" t="e">
        <f t="shared" si="28"/>
        <v>#REF!</v>
      </c>
    </row>
    <row r="127" spans="1:14" x14ac:dyDescent="0.2">
      <c r="A127" s="126" t="s">
        <v>178</v>
      </c>
      <c r="B127" s="126">
        <v>30</v>
      </c>
      <c r="C127" s="127">
        <v>570</v>
      </c>
      <c r="D127" s="128">
        <v>3.1147540983606561</v>
      </c>
      <c r="E127" s="126">
        <v>12.2</v>
      </c>
      <c r="F127" s="127" t="e">
        <f t="shared" si="23"/>
        <v>#REF!</v>
      </c>
      <c r="G127" s="127" t="e">
        <f t="shared" si="24"/>
        <v>#REF!</v>
      </c>
      <c r="H127" s="127" t="e">
        <f t="shared" si="25"/>
        <v>#REF!</v>
      </c>
      <c r="I127" s="127">
        <v>80</v>
      </c>
      <c r="J127" s="127" t="e">
        <f t="shared" si="26"/>
        <v>#REF!</v>
      </c>
      <c r="K127" s="127" t="e">
        <f t="shared" si="27"/>
        <v>#REF!</v>
      </c>
      <c r="L127" s="131" t="e">
        <f t="shared" si="28"/>
        <v>#REF!</v>
      </c>
    </row>
    <row r="128" spans="1:14" x14ac:dyDescent="0.2">
      <c r="A128" s="126" t="s">
        <v>179</v>
      </c>
      <c r="B128" s="126">
        <v>31</v>
      </c>
      <c r="C128" s="127">
        <v>598.29999999999995</v>
      </c>
      <c r="D128" s="128">
        <v>2.9242424242424243</v>
      </c>
      <c r="E128" s="126">
        <v>13.2</v>
      </c>
      <c r="F128" s="127" t="e">
        <f t="shared" si="23"/>
        <v>#REF!</v>
      </c>
      <c r="G128" s="127" t="e">
        <f t="shared" si="24"/>
        <v>#REF!</v>
      </c>
      <c r="H128" s="127" t="e">
        <f t="shared" si="25"/>
        <v>#REF!</v>
      </c>
      <c r="I128" s="127">
        <v>40</v>
      </c>
      <c r="J128" s="127" t="e">
        <f t="shared" si="26"/>
        <v>#REF!</v>
      </c>
      <c r="K128" s="127" t="e">
        <f t="shared" si="27"/>
        <v>#REF!</v>
      </c>
      <c r="L128" s="131" t="e">
        <f t="shared" si="28"/>
        <v>#REF!</v>
      </c>
    </row>
    <row r="129" spans="1:12" x14ac:dyDescent="0.2">
      <c r="A129" s="126" t="s">
        <v>180</v>
      </c>
      <c r="B129" s="126">
        <v>30</v>
      </c>
      <c r="C129" s="127">
        <v>579</v>
      </c>
      <c r="D129" s="128">
        <v>2.71830985915493</v>
      </c>
      <c r="E129" s="126">
        <v>14.2</v>
      </c>
      <c r="F129" s="127" t="e">
        <f t="shared" si="23"/>
        <v>#REF!</v>
      </c>
      <c r="G129" s="127" t="e">
        <f t="shared" si="24"/>
        <v>#REF!</v>
      </c>
      <c r="H129" s="127" t="e">
        <f t="shared" si="25"/>
        <v>#REF!</v>
      </c>
      <c r="I129" s="127">
        <v>0</v>
      </c>
      <c r="J129" s="127" t="e">
        <f t="shared" si="26"/>
        <v>#REF!</v>
      </c>
      <c r="K129" s="127" t="e">
        <f t="shared" si="27"/>
        <v>#REF!</v>
      </c>
      <c r="L129" s="131" t="e">
        <f t="shared" si="28"/>
        <v>#REF!</v>
      </c>
    </row>
    <row r="130" spans="1:12" x14ac:dyDescent="0.2">
      <c r="A130" s="126" t="s">
        <v>181</v>
      </c>
      <c r="B130" s="126">
        <v>31</v>
      </c>
      <c r="C130" s="127">
        <v>579.70000000000005</v>
      </c>
      <c r="D130" s="128">
        <v>2.615384615384615</v>
      </c>
      <c r="E130" s="126">
        <v>14.3</v>
      </c>
      <c r="F130" s="127" t="e">
        <f t="shared" si="23"/>
        <v>#REF!</v>
      </c>
      <c r="G130" s="127" t="e">
        <f t="shared" si="24"/>
        <v>#REF!</v>
      </c>
      <c r="H130" s="127" t="e">
        <f t="shared" si="25"/>
        <v>#REF!</v>
      </c>
      <c r="I130" s="127">
        <v>0</v>
      </c>
      <c r="J130" s="127" t="e">
        <f t="shared" si="26"/>
        <v>#REF!</v>
      </c>
      <c r="K130" s="127" t="e">
        <f t="shared" si="27"/>
        <v>#REF!</v>
      </c>
      <c r="L130" s="131" t="e">
        <f t="shared" si="28"/>
        <v>#REF!</v>
      </c>
    </row>
    <row r="131" spans="1:12" x14ac:dyDescent="0.2">
      <c r="A131" s="126" t="s">
        <v>182</v>
      </c>
      <c r="B131" s="126">
        <v>31</v>
      </c>
      <c r="C131" s="127">
        <v>554.9</v>
      </c>
      <c r="D131" s="128">
        <v>2.7121212121212119</v>
      </c>
      <c r="E131" s="126">
        <v>13.2</v>
      </c>
      <c r="F131" s="127" t="e">
        <f t="shared" si="23"/>
        <v>#REF!</v>
      </c>
      <c r="G131" s="127" t="e">
        <f t="shared" si="24"/>
        <v>#REF!</v>
      </c>
      <c r="H131" s="127" t="e">
        <f t="shared" si="25"/>
        <v>#REF!</v>
      </c>
      <c r="I131" s="127">
        <v>0</v>
      </c>
      <c r="J131" s="127" t="e">
        <f t="shared" si="26"/>
        <v>#REF!</v>
      </c>
      <c r="K131" s="127" t="e">
        <f t="shared" si="27"/>
        <v>#REF!</v>
      </c>
      <c r="L131" s="131" t="e">
        <f t="shared" si="28"/>
        <v>#REF!</v>
      </c>
    </row>
    <row r="132" spans="1:12" x14ac:dyDescent="0.2">
      <c r="A132" s="126" t="s">
        <v>183</v>
      </c>
      <c r="B132" s="126">
        <v>30</v>
      </c>
      <c r="C132" s="127">
        <v>441</v>
      </c>
      <c r="D132" s="128">
        <v>2.4098360655737707</v>
      </c>
      <c r="E132" s="126">
        <v>12.2</v>
      </c>
      <c r="F132" s="127" t="e">
        <f t="shared" si="23"/>
        <v>#REF!</v>
      </c>
      <c r="G132" s="127" t="e">
        <f t="shared" si="24"/>
        <v>#REF!</v>
      </c>
      <c r="H132" s="127" t="e">
        <f t="shared" si="25"/>
        <v>#REF!</v>
      </c>
      <c r="I132" s="127">
        <v>30</v>
      </c>
      <c r="J132" s="127" t="e">
        <f t="shared" si="26"/>
        <v>#REF!</v>
      </c>
      <c r="K132" s="127" t="e">
        <f t="shared" si="27"/>
        <v>#REF!</v>
      </c>
      <c r="L132" s="131" t="e">
        <f t="shared" si="28"/>
        <v>#REF!</v>
      </c>
    </row>
    <row r="133" spans="1:12" x14ac:dyDescent="0.2">
      <c r="A133" s="126" t="s">
        <v>184</v>
      </c>
      <c r="B133" s="126">
        <v>31</v>
      </c>
      <c r="C133" s="127">
        <v>341</v>
      </c>
      <c r="D133" s="128">
        <v>2</v>
      </c>
      <c r="E133" s="126">
        <v>11</v>
      </c>
      <c r="F133" s="127" t="e">
        <f t="shared" si="23"/>
        <v>#REF!</v>
      </c>
      <c r="G133" s="127" t="e">
        <f t="shared" si="24"/>
        <v>#REF!</v>
      </c>
      <c r="H133" s="127" t="e">
        <f t="shared" si="25"/>
        <v>#REF!</v>
      </c>
      <c r="I133" s="127">
        <v>80</v>
      </c>
      <c r="J133" s="127" t="e">
        <f t="shared" si="26"/>
        <v>#REF!</v>
      </c>
      <c r="K133" s="127" t="e">
        <f t="shared" si="27"/>
        <v>#REF!</v>
      </c>
      <c r="L133" s="131" t="e">
        <f t="shared" si="28"/>
        <v>#REF!</v>
      </c>
    </row>
    <row r="134" spans="1:12" x14ac:dyDescent="0.2">
      <c r="A134" s="126" t="s">
        <v>185</v>
      </c>
      <c r="B134" s="126">
        <v>30</v>
      </c>
      <c r="C134" s="127">
        <v>177.3</v>
      </c>
      <c r="D134" s="128">
        <v>1.3133333333333335</v>
      </c>
      <c r="E134" s="126">
        <v>9</v>
      </c>
      <c r="F134" s="127" t="e">
        <f t="shared" si="23"/>
        <v>#REF!</v>
      </c>
      <c r="G134" s="127" t="e">
        <f t="shared" si="24"/>
        <v>#REF!</v>
      </c>
      <c r="H134" s="127" t="e">
        <f t="shared" si="25"/>
        <v>#REF!</v>
      </c>
      <c r="I134" s="127">
        <v>120</v>
      </c>
      <c r="J134" s="127" t="e">
        <f t="shared" si="26"/>
        <v>#REF!</v>
      </c>
      <c r="K134" s="127" t="e">
        <f t="shared" si="27"/>
        <v>#REF!</v>
      </c>
      <c r="L134" s="131" t="e">
        <f t="shared" si="28"/>
        <v>#REF!</v>
      </c>
    </row>
    <row r="135" spans="1:12" x14ac:dyDescent="0.2">
      <c r="A135" s="126" t="s">
        <v>186</v>
      </c>
      <c r="B135" s="126">
        <v>31</v>
      </c>
      <c r="C135" s="127">
        <v>133.30000000000001</v>
      </c>
      <c r="D135" s="128">
        <v>1.2285714285714284</v>
      </c>
      <c r="E135" s="126">
        <v>7</v>
      </c>
      <c r="F135" s="127" t="e">
        <f t="shared" si="23"/>
        <v>#REF!</v>
      </c>
      <c r="G135" s="127" t="e">
        <f t="shared" si="24"/>
        <v>#REF!</v>
      </c>
      <c r="H135" s="127" t="e">
        <f t="shared" si="25"/>
        <v>#REF!</v>
      </c>
      <c r="I135" s="127">
        <v>160</v>
      </c>
      <c r="J135" s="127" t="e">
        <f t="shared" si="26"/>
        <v>#REF!</v>
      </c>
      <c r="K135" s="127" t="e">
        <f t="shared" si="27"/>
        <v>#REF!</v>
      </c>
      <c r="L135" s="131" t="e">
        <f t="shared" si="28"/>
        <v>#REF!</v>
      </c>
    </row>
    <row r="136" spans="1:12" x14ac:dyDescent="0.2">
      <c r="A136" s="129" t="s">
        <v>187</v>
      </c>
      <c r="B136" s="129">
        <v>365</v>
      </c>
      <c r="C136" s="130">
        <v>4805.01</v>
      </c>
      <c r="D136" s="126"/>
      <c r="E136" s="126"/>
      <c r="F136" s="127" t="e">
        <f>SUM(F124:F135)</f>
        <v>#REF!</v>
      </c>
      <c r="G136" s="127" t="e">
        <f>SUM(G124:G135)</f>
        <v>#REF!</v>
      </c>
      <c r="H136" s="127" t="e">
        <f>SUM(H124:H135)</f>
        <v>#REF!</v>
      </c>
      <c r="I136" s="127">
        <f>SUM(I124:I135)</f>
        <v>960</v>
      </c>
      <c r="J136" s="127" t="e">
        <f>SUM(J124:J135)</f>
        <v>#REF!</v>
      </c>
      <c r="K136" s="127" t="e">
        <f t="shared" si="27"/>
        <v>#REF!</v>
      </c>
      <c r="L136" s="131" t="e">
        <f>SUM(L124:L135)</f>
        <v>#REF!</v>
      </c>
    </row>
    <row r="138" spans="1:12" x14ac:dyDescent="0.2">
      <c r="I138" s="127"/>
    </row>
    <row r="139" spans="1:12" x14ac:dyDescent="0.2">
      <c r="A139" s="51" t="s">
        <v>112</v>
      </c>
      <c r="C139" s="102">
        <f>'Haustechnikvarianten berechnen'!B69</f>
        <v>17520</v>
      </c>
      <c r="E139" s="51" t="s">
        <v>112</v>
      </c>
      <c r="G139" s="102">
        <f>C139</f>
        <v>17520</v>
      </c>
      <c r="I139" s="51"/>
      <c r="K139" s="102"/>
    </row>
    <row r="140" spans="1:12" x14ac:dyDescent="0.2">
      <c r="A140" s="51" t="s">
        <v>211</v>
      </c>
      <c r="C140">
        <f>'Haustechnikvarianten berechnen'!B70</f>
        <v>1600</v>
      </c>
      <c r="E140" s="51" t="s">
        <v>211</v>
      </c>
      <c r="G140">
        <f>C140</f>
        <v>1600</v>
      </c>
      <c r="I140" s="51"/>
    </row>
    <row r="141" spans="1:12" x14ac:dyDescent="0.2">
      <c r="A141" s="51" t="s">
        <v>207</v>
      </c>
      <c r="C141" s="145">
        <f>'Haustechnikvarianten berechnen'!C39</f>
        <v>3</v>
      </c>
      <c r="E141" s="51" t="s">
        <v>207</v>
      </c>
      <c r="G141" s="145">
        <f>'Haustechnikvarianten berechnen'!D39</f>
        <v>4.5</v>
      </c>
      <c r="I141" s="51"/>
      <c r="K141" s="145"/>
    </row>
    <row r="142" spans="1:12" x14ac:dyDescent="0.2">
      <c r="A142" s="51" t="s">
        <v>208</v>
      </c>
      <c r="C142">
        <f>10*ROUND(C140/18000,1)</f>
        <v>1</v>
      </c>
      <c r="E142" s="51" t="s">
        <v>208</v>
      </c>
      <c r="G142">
        <f>10*ROUND((G140+G139)/18000,2)</f>
        <v>10.600000000000001</v>
      </c>
      <c r="I142" s="51"/>
    </row>
    <row r="143" spans="1:12" x14ac:dyDescent="0.2">
      <c r="A143" s="51" t="s">
        <v>209</v>
      </c>
      <c r="C143">
        <f>10*ROUND(C142*(C140-1)/C140/0.05*1.3/10,0)</f>
        <v>30</v>
      </c>
      <c r="E143" s="51" t="s">
        <v>209</v>
      </c>
      <c r="G143">
        <f>10*ROUND(G142*(G141-1)/G141/0.05*1.3/10,1)</f>
        <v>214</v>
      </c>
      <c r="I143" s="51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5BE2B-EC91-4DCC-8A49-7363BE66CBB8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Haustechnikvarianten gesamt</vt:lpstr>
      <vt:lpstr>Haustechnikvarianten berechnen</vt:lpstr>
      <vt:lpstr>Berechnung</vt:lpstr>
      <vt:lpstr>Tabelle2</vt:lpstr>
      <vt:lpstr>Tabelle3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Johannes Spruth</cp:lastModifiedBy>
  <cp:lastPrinted>2023-08-17T21:51:32Z</cp:lastPrinted>
  <dcterms:created xsi:type="dcterms:W3CDTF">2017-07-13T22:33:43Z</dcterms:created>
  <dcterms:modified xsi:type="dcterms:W3CDTF">2024-02-18T19:33:06Z</dcterms:modified>
</cp:coreProperties>
</file>