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5BC64102-1516-4EAD-8F78-836A3F04A4F3}" xr6:coauthVersionLast="47" xr6:coauthVersionMax="47" xr10:uidLastSave="{00000000-0000-0000-0000-000000000000}"/>
  <workbookProtection workbookAlgorithmName="SHA-512" workbookHashValue="2Sfi8H69IF1yJ58Z1RBgvpT6GMGni+ISZxLDFspHoluJAwVz2qLINqq2niJU8AkW3v6cAYNzYVtvvI8UH4aUeQ==" workbookSaltValue="F+DsGEhmbae2Y1/XExHPYA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D18" i="4"/>
  <c r="D20" i="4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B61" i="1"/>
  <c r="C79" i="4"/>
  <c r="D79" i="4"/>
  <c r="E79" i="4"/>
  <c r="F79" i="4"/>
  <c r="G79" i="4"/>
  <c r="H79" i="4"/>
  <c r="B79" i="4"/>
  <c r="D22" i="4"/>
  <c r="F39" i="1"/>
  <c r="F41" i="1" s="1"/>
  <c r="G39" i="1"/>
  <c r="G41" i="1" s="1"/>
  <c r="H39" i="1"/>
  <c r="H41" i="1" s="1"/>
  <c r="I39" i="1"/>
  <c r="I41" i="1" s="1"/>
  <c r="E39" i="1"/>
  <c r="E41" i="1" s="1"/>
  <c r="W47" i="1"/>
  <c r="W49" i="1" s="1"/>
  <c r="W46" i="1"/>
  <c r="P47" i="1"/>
  <c r="P49" i="1" s="1"/>
  <c r="H48" i="1"/>
  <c r="G48" i="1"/>
  <c r="F48" i="1"/>
  <c r="E48" i="1"/>
  <c r="D48" i="1"/>
  <c r="C48" i="1"/>
  <c r="G66" i="4"/>
  <c r="G65" i="4"/>
  <c r="G64" i="4"/>
  <c r="F66" i="4"/>
  <c r="F65" i="4"/>
  <c r="F64" i="4"/>
  <c r="E66" i="4"/>
  <c r="E65" i="4"/>
  <c r="E64" i="4"/>
  <c r="D66" i="4"/>
  <c r="C66" i="4"/>
  <c r="C65" i="4"/>
  <c r="C64" i="4"/>
  <c r="B7" i="5"/>
  <c r="D65" i="4"/>
  <c r="D64" i="4"/>
  <c r="D63" i="4"/>
  <c r="D62" i="4"/>
  <c r="D42" i="4"/>
  <c r="D35" i="4"/>
  <c r="D34" i="4"/>
  <c r="D70" i="4"/>
  <c r="D53" i="4"/>
  <c r="D48" i="4"/>
  <c r="D51" i="4" s="1"/>
  <c r="D52" i="4" s="1"/>
  <c r="E7" i="5" l="1"/>
  <c r="E23" i="5"/>
  <c r="C23" i="5"/>
  <c r="D55" i="4"/>
  <c r="D56" i="4" s="1"/>
  <c r="H70" i="4"/>
  <c r="G70" i="4"/>
  <c r="F70" i="4"/>
  <c r="E70" i="4"/>
  <c r="C70" i="4"/>
  <c r="B57" i="1"/>
  <c r="W31" i="1"/>
  <c r="W57" i="1"/>
  <c r="W53" i="1"/>
  <c r="W52" i="1"/>
  <c r="W54" i="1" s="1"/>
  <c r="W51" i="1"/>
  <c r="W41" i="1"/>
  <c r="W37" i="1"/>
  <c r="W42" i="1" s="1"/>
  <c r="P46" i="1"/>
  <c r="P57" i="1"/>
  <c r="P53" i="1"/>
  <c r="P52" i="1"/>
  <c r="P54" i="1" s="1"/>
  <c r="P51" i="1"/>
  <c r="P41" i="1"/>
  <c r="P37" i="1"/>
  <c r="P42" i="1" s="1"/>
  <c r="P43" i="1" s="1"/>
  <c r="Q37" i="1"/>
  <c r="Q42" i="1"/>
  <c r="Q54" i="1"/>
  <c r="S57" i="1"/>
  <c r="T57" i="1"/>
  <c r="U57" i="1"/>
  <c r="V57" i="1"/>
  <c r="R57" i="1"/>
  <c r="S53" i="1"/>
  <c r="T53" i="1"/>
  <c r="U53" i="1"/>
  <c r="V53" i="1"/>
  <c r="R53" i="1"/>
  <c r="S52" i="1"/>
  <c r="T52" i="1"/>
  <c r="U52" i="1"/>
  <c r="V52" i="1"/>
  <c r="R52" i="1"/>
  <c r="S51" i="1"/>
  <c r="T51" i="1"/>
  <c r="U51" i="1"/>
  <c r="V51" i="1"/>
  <c r="R51" i="1"/>
  <c r="S37" i="1"/>
  <c r="S42" i="1" s="1"/>
  <c r="T37" i="1"/>
  <c r="R37" i="1"/>
  <c r="R42" i="1" s="1"/>
  <c r="L52" i="1"/>
  <c r="M52" i="1"/>
  <c r="N52" i="1"/>
  <c r="O52" i="1"/>
  <c r="L53" i="1"/>
  <c r="M53" i="1"/>
  <c r="N53" i="1"/>
  <c r="O53" i="1"/>
  <c r="L54" i="1"/>
  <c r="M54" i="1"/>
  <c r="N54" i="1"/>
  <c r="O54" i="1"/>
  <c r="L57" i="1"/>
  <c r="M57" i="1"/>
  <c r="N57" i="1"/>
  <c r="O57" i="1"/>
  <c r="K57" i="1"/>
  <c r="K53" i="1"/>
  <c r="K52" i="1"/>
  <c r="K54" i="1" s="1"/>
  <c r="L51" i="1"/>
  <c r="M51" i="1"/>
  <c r="N51" i="1"/>
  <c r="O51" i="1"/>
  <c r="K51" i="1"/>
  <c r="L41" i="1"/>
  <c r="M41" i="1"/>
  <c r="N41" i="1"/>
  <c r="O41" i="1"/>
  <c r="K41" i="1"/>
  <c r="M37" i="1"/>
  <c r="M42" i="1" s="1"/>
  <c r="M43" i="1" s="1"/>
  <c r="L37" i="1"/>
  <c r="L42" i="1" s="1"/>
  <c r="L43" i="1" s="1"/>
  <c r="K37" i="1"/>
  <c r="K42" i="1" s="1"/>
  <c r="K43" i="1" s="1"/>
  <c r="J54" i="1"/>
  <c r="D53" i="1"/>
  <c r="E53" i="1"/>
  <c r="F53" i="1"/>
  <c r="G53" i="1"/>
  <c r="H53" i="1"/>
  <c r="I53" i="1"/>
  <c r="C53" i="1"/>
  <c r="B52" i="1"/>
  <c r="B54" i="1" s="1"/>
  <c r="C50" i="1"/>
  <c r="C52" i="1" s="1"/>
  <c r="C45" i="1"/>
  <c r="D45" i="1" s="1"/>
  <c r="E45" i="1" s="1"/>
  <c r="F45" i="1" s="1"/>
  <c r="G45" i="1" s="1"/>
  <c r="H45" i="1" s="1"/>
  <c r="I45" i="1" s="1"/>
  <c r="C44" i="1"/>
  <c r="D44" i="1" s="1"/>
  <c r="E44" i="1" s="1"/>
  <c r="F44" i="1" s="1"/>
  <c r="G44" i="1" s="1"/>
  <c r="H44" i="1" s="1"/>
  <c r="I44" i="1" s="1"/>
  <c r="G42" i="1"/>
  <c r="G43" i="1" s="1"/>
  <c r="F42" i="1"/>
  <c r="F43" i="1" s="1"/>
  <c r="E42" i="1"/>
  <c r="E43" i="1" s="1"/>
  <c r="D42" i="1"/>
  <c r="D43" i="1" s="1"/>
  <c r="C42" i="1"/>
  <c r="C43" i="1" s="1"/>
  <c r="F48" i="4"/>
  <c r="F51" i="4" s="1"/>
  <c r="F52" i="4" s="1"/>
  <c r="H64" i="4"/>
  <c r="H65" i="4"/>
  <c r="C40" i="5"/>
  <c r="C39" i="5"/>
  <c r="E56" i="5"/>
  <c r="E26" i="5"/>
  <c r="E20" i="5"/>
  <c r="E19" i="5"/>
  <c r="C20" i="5"/>
  <c r="E57" i="5"/>
  <c r="C26" i="5"/>
  <c r="C19" i="5"/>
  <c r="E62" i="5"/>
  <c r="E58" i="5"/>
  <c r="E59" i="5" s="1"/>
  <c r="E60" i="5" s="1"/>
  <c r="E61" i="5" s="1"/>
  <c r="E4" i="5"/>
  <c r="E3" i="5"/>
  <c r="B6" i="5"/>
  <c r="B3" i="5"/>
  <c r="C57" i="1" l="1"/>
  <c r="B8" i="5"/>
  <c r="B11" i="5" s="1"/>
  <c r="C22" i="5"/>
  <c r="E8" i="5"/>
  <c r="E24" i="5"/>
  <c r="C24" i="5"/>
  <c r="W60" i="1"/>
  <c r="W58" i="1"/>
  <c r="P56" i="1"/>
  <c r="L56" i="1"/>
  <c r="M56" i="1"/>
  <c r="K56" i="1"/>
  <c r="K55" i="1"/>
  <c r="L55" i="1"/>
  <c r="M55" i="1"/>
  <c r="K60" i="1"/>
  <c r="K58" i="1"/>
  <c r="O58" i="1"/>
  <c r="O60" i="1"/>
  <c r="N58" i="1"/>
  <c r="N60" i="1"/>
  <c r="M58" i="1"/>
  <c r="M60" i="1"/>
  <c r="L58" i="1"/>
  <c r="L60" i="1"/>
  <c r="R60" i="1"/>
  <c r="R58" i="1"/>
  <c r="V60" i="1"/>
  <c r="V58" i="1"/>
  <c r="U60" i="1"/>
  <c r="U58" i="1"/>
  <c r="T60" i="1"/>
  <c r="T58" i="1"/>
  <c r="S60" i="1"/>
  <c r="S58" i="1"/>
  <c r="R54" i="1"/>
  <c r="V54" i="1"/>
  <c r="U54" i="1"/>
  <c r="T54" i="1"/>
  <c r="S54" i="1"/>
  <c r="P55" i="1"/>
  <c r="P60" i="1"/>
  <c r="P58" i="1"/>
  <c r="C54" i="1"/>
  <c r="D50" i="1"/>
  <c r="D51" i="1" s="1"/>
  <c r="C27" i="5"/>
  <c r="E27" i="5"/>
  <c r="E6" i="5"/>
  <c r="E9" i="5"/>
  <c r="E11" i="5" l="1"/>
  <c r="E32" i="5"/>
  <c r="C32" i="5"/>
  <c r="D52" i="1"/>
  <c r="D54" i="1" s="1"/>
  <c r="D57" i="1"/>
  <c r="C55" i="1"/>
  <c r="C56" i="1"/>
  <c r="E50" i="1"/>
  <c r="E51" i="1" s="1"/>
  <c r="C28" i="5"/>
  <c r="E22" i="5"/>
  <c r="E28" i="5"/>
  <c r="E52" i="1" l="1"/>
  <c r="E54" i="1"/>
  <c r="E57" i="1"/>
  <c r="D55" i="1"/>
  <c r="D56" i="1"/>
  <c r="F50" i="1"/>
  <c r="B4" i="5"/>
  <c r="B9" i="5"/>
  <c r="B5" i="5"/>
  <c r="D21" i="4"/>
  <c r="G53" i="4"/>
  <c r="F53" i="4"/>
  <c r="D24" i="4"/>
  <c r="H53" i="4" s="1"/>
  <c r="E53" i="4"/>
  <c r="C53" i="4"/>
  <c r="D14" i="4"/>
  <c r="B51" i="1"/>
  <c r="B58" i="4"/>
  <c r="C25" i="5" s="1"/>
  <c r="F52" i="1" l="1"/>
  <c r="F51" i="1"/>
  <c r="D58" i="1"/>
  <c r="E58" i="1"/>
  <c r="D60" i="1"/>
  <c r="E60" i="1"/>
  <c r="C60" i="1"/>
  <c r="C58" i="1"/>
  <c r="F54" i="1"/>
  <c r="F57" i="1"/>
  <c r="E55" i="1"/>
  <c r="E56" i="1"/>
  <c r="G50" i="1"/>
  <c r="C42" i="5"/>
  <c r="C43" i="5" s="1"/>
  <c r="E25" i="5"/>
  <c r="E29" i="5" s="1"/>
  <c r="E30" i="5" s="1"/>
  <c r="C29" i="5"/>
  <c r="C30" i="5" s="1"/>
  <c r="E5" i="5"/>
  <c r="E10" i="5" s="1"/>
  <c r="C21" i="5"/>
  <c r="C41" i="5" s="1"/>
  <c r="C44" i="5" s="1"/>
  <c r="C45" i="5" s="1"/>
  <c r="B10" i="5"/>
  <c r="B12" i="5" s="1"/>
  <c r="B13" i="5" s="1"/>
  <c r="C61" i="4" s="1"/>
  <c r="D61" i="4" s="1"/>
  <c r="G48" i="4"/>
  <c r="G51" i="4" s="1"/>
  <c r="G52" i="4" s="1"/>
  <c r="N37" i="1"/>
  <c r="N42" i="1" s="1"/>
  <c r="N43" i="1" s="1"/>
  <c r="E12" i="5" l="1"/>
  <c r="H60" i="4"/>
  <c r="C46" i="5"/>
  <c r="H61" i="4" s="1"/>
  <c r="N55" i="1"/>
  <c r="N56" i="1"/>
  <c r="F58" i="1"/>
  <c r="F60" i="1"/>
  <c r="G52" i="1"/>
  <c r="G54" i="1" s="1"/>
  <c r="G57" i="1"/>
  <c r="F55" i="1"/>
  <c r="F56" i="1"/>
  <c r="H50" i="1"/>
  <c r="H51" i="1" s="1"/>
  <c r="G51" i="1"/>
  <c r="E21" i="5"/>
  <c r="E31" i="5" s="1"/>
  <c r="E33" i="5" s="1"/>
  <c r="E34" i="5" s="1"/>
  <c r="G61" i="4" s="1"/>
  <c r="C31" i="5"/>
  <c r="C33" i="5" s="1"/>
  <c r="C34" i="5" s="1"/>
  <c r="F61" i="4" s="1"/>
  <c r="C60" i="4"/>
  <c r="D60" i="4" s="1"/>
  <c r="G55" i="4"/>
  <c r="G56" i="4" s="1"/>
  <c r="E48" i="4"/>
  <c r="E51" i="4" s="1"/>
  <c r="E52" i="4" s="1"/>
  <c r="F55" i="4"/>
  <c r="F56" i="4"/>
  <c r="H57" i="1" l="1"/>
  <c r="E13" i="5"/>
  <c r="E61" i="4" s="1"/>
  <c r="E60" i="4"/>
  <c r="G58" i="1"/>
  <c r="G60" i="1"/>
  <c r="H52" i="1"/>
  <c r="H54" i="1" s="1"/>
  <c r="G55" i="1"/>
  <c r="G56" i="1"/>
  <c r="I50" i="1"/>
  <c r="F60" i="4"/>
  <c r="G60" i="4"/>
  <c r="D10" i="4"/>
  <c r="D9" i="4"/>
  <c r="D8" i="4"/>
  <c r="D7" i="4"/>
  <c r="D12" i="4"/>
  <c r="D11" i="4"/>
  <c r="D6" i="4"/>
  <c r="C58" i="4"/>
  <c r="D58" i="4" s="1"/>
  <c r="B59" i="4"/>
  <c r="C59" i="4" s="1"/>
  <c r="D59" i="4" s="1"/>
  <c r="G17" i="4"/>
  <c r="G16" i="4"/>
  <c r="D17" i="4"/>
  <c r="D16" i="4"/>
  <c r="E55" i="4" l="1"/>
  <c r="E56" i="4" s="1"/>
  <c r="H58" i="1"/>
  <c r="H60" i="1"/>
  <c r="I52" i="1"/>
  <c r="I54" i="1" s="1"/>
  <c r="I57" i="1"/>
  <c r="I51" i="1"/>
  <c r="H48" i="4"/>
  <c r="H51" i="4" s="1"/>
  <c r="H52" i="4" s="1"/>
  <c r="E59" i="4"/>
  <c r="F59" i="4"/>
  <c r="E58" i="4"/>
  <c r="F58" i="4"/>
  <c r="I58" i="1" l="1"/>
  <c r="I60" i="1"/>
  <c r="H55" i="4"/>
  <c r="H56" i="4" s="1"/>
  <c r="H58" i="4"/>
  <c r="G58" i="4"/>
  <c r="H59" i="4"/>
  <c r="G59" i="4"/>
  <c r="B67" i="4"/>
  <c r="B75" i="4" s="1"/>
  <c r="B69" i="4" l="1"/>
  <c r="B72" i="4" s="1"/>
  <c r="B68" i="4"/>
  <c r="C67" i="4"/>
  <c r="D67" i="4" s="1"/>
  <c r="H37" i="1"/>
  <c r="H42" i="1" s="1"/>
  <c r="H43" i="1" s="1"/>
  <c r="E62" i="4" l="1"/>
  <c r="C62" i="4"/>
  <c r="G62" i="4"/>
  <c r="F62" i="4"/>
  <c r="E63" i="4"/>
  <c r="C63" i="4"/>
  <c r="F63" i="4"/>
  <c r="G63" i="4"/>
  <c r="H66" i="4"/>
  <c r="H63" i="4"/>
  <c r="H62" i="4"/>
  <c r="C69" i="4"/>
  <c r="C72" i="4" s="1"/>
  <c r="E67" i="4"/>
  <c r="F67" i="4"/>
  <c r="D75" i="4" l="1"/>
  <c r="D69" i="4"/>
  <c r="D72" i="4" s="1"/>
  <c r="D68" i="4"/>
  <c r="F69" i="4"/>
  <c r="F72" i="4" s="1"/>
  <c r="F75" i="4"/>
  <c r="F68" i="4"/>
  <c r="E69" i="4"/>
  <c r="E72" i="4" s="1"/>
  <c r="E75" i="4"/>
  <c r="E68" i="4"/>
  <c r="C75" i="4"/>
  <c r="H67" i="4"/>
  <c r="G67" i="4"/>
  <c r="D13" i="4"/>
  <c r="D78" i="4" l="1"/>
  <c r="D76" i="4"/>
  <c r="E76" i="4"/>
  <c r="E78" i="4"/>
  <c r="F76" i="4"/>
  <c r="F78" i="4"/>
  <c r="G69" i="4"/>
  <c r="G72" i="4" s="1"/>
  <c r="G75" i="4"/>
  <c r="G68" i="4"/>
  <c r="H69" i="4"/>
  <c r="H72" i="4" s="1"/>
  <c r="H75" i="4"/>
  <c r="H68" i="4"/>
  <c r="D15" i="4"/>
  <c r="H76" i="4" l="1"/>
  <c r="H78" i="4"/>
  <c r="G76" i="4"/>
  <c r="G78" i="4"/>
  <c r="D23" i="4"/>
  <c r="B55" i="4"/>
  <c r="V41" i="1" l="1"/>
  <c r="T41" i="1"/>
  <c r="I37" i="1" l="1"/>
  <c r="O37" i="1"/>
  <c r="O42" i="1" s="1"/>
  <c r="O43" i="1" s="1"/>
  <c r="U37" i="1"/>
  <c r="V37" i="1"/>
  <c r="O55" i="1" l="1"/>
  <c r="O56" i="1"/>
  <c r="C48" i="4"/>
  <c r="V42" i="1"/>
  <c r="C51" i="4" l="1"/>
  <c r="C52" i="4" s="1"/>
  <c r="C55" i="4" s="1"/>
  <c r="B48" i="4"/>
  <c r="B56" i="4"/>
  <c r="D57" i="4" s="1"/>
  <c r="C56" i="4"/>
  <c r="B37" i="1"/>
  <c r="I42" i="1"/>
  <c r="I43" i="1" s="1"/>
  <c r="T42" i="1"/>
  <c r="U42" i="1"/>
  <c r="D73" i="4" l="1"/>
  <c r="D74" i="4"/>
  <c r="B42" i="1"/>
  <c r="W43" i="1" s="1"/>
  <c r="Q43" i="1"/>
  <c r="G57" i="4"/>
  <c r="H57" i="4"/>
  <c r="F57" i="4"/>
  <c r="E57" i="4"/>
  <c r="J43" i="1"/>
  <c r="V43" i="1"/>
  <c r="T43" i="1"/>
  <c r="C57" i="4"/>
  <c r="U43" i="1"/>
  <c r="W55" i="1" l="1"/>
  <c r="W56" i="1"/>
  <c r="U56" i="1"/>
  <c r="U55" i="1"/>
  <c r="T56" i="1"/>
  <c r="T55" i="1"/>
  <c r="V56" i="1"/>
  <c r="V55" i="1"/>
  <c r="R43" i="1"/>
  <c r="S43" i="1"/>
  <c r="I55" i="1"/>
  <c r="I56" i="1"/>
  <c r="E73" i="4"/>
  <c r="E74" i="4"/>
  <c r="C74" i="4"/>
  <c r="C73" i="4"/>
  <c r="S56" i="1" l="1"/>
  <c r="S55" i="1"/>
  <c r="R56" i="1"/>
  <c r="R55" i="1"/>
  <c r="H55" i="1"/>
  <c r="H56" i="1"/>
  <c r="H74" i="4"/>
  <c r="G74" i="4"/>
  <c r="H73" i="4"/>
  <c r="G73" i="4"/>
  <c r="F74" i="4"/>
  <c r="F73" i="4"/>
  <c r="C68" i="4" l="1"/>
  <c r="C78" i="4" l="1"/>
  <c r="C76" i="4"/>
</calcChain>
</file>

<file path=xl/sharedStrings.xml><?xml version="1.0" encoding="utf-8"?>
<sst xmlns="http://schemas.openxmlformats.org/spreadsheetml/2006/main" count="427" uniqueCount="186">
  <si>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</si>
  <si>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</si>
  <si>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</si>
  <si>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</si>
  <si>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</si>
  <si>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</si>
  <si>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</si>
  <si>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</si>
  <si>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</si>
  <si>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</si>
  <si>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</si>
  <si>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</si>
  <si>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</si>
  <si>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</si>
  <si>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</si>
  <si>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</si>
  <si>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</si>
  <si>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</si>
  <si>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</si>
  <si>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</si>
  <si>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</si>
  <si>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</si>
  <si>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</si>
  <si>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</si>
  <si>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</si>
  <si>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</si>
  <si>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</si>
  <si>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</si>
  <si>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</si>
  <si>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</si>
  <si>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</si>
  <si>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</si>
  <si>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</si>
  <si>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</si>
  <si>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</si>
  <si>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</si>
  <si>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</si>
  <si>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</si>
  <si>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</si>
  <si>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</si>
  <si>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</si>
  <si>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</si>
  <si>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</si>
  <si>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</si>
  <si>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</si>
  <si>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</si>
  <si>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</si>
  <si>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</si>
  <si>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</si>
  <si>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</si>
  <si>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</si>
  <si>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</si>
  <si>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</si>
  <si>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</si>
  <si>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</si>
  <si>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</si>
  <si>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</si>
  <si>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</si>
  <si>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</si>
  <si>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</si>
  <si>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</si>
  <si>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</si>
  <si>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</si>
  <si>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</si>
  <si>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</si>
  <si>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</si>
  <si>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</si>
  <si>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</si>
  <si>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</si>
  <si>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Wartungskosten</t>
  </si>
  <si>
    <t>Autarkie Gesamt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</si>
  <si>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</si>
  <si>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</si>
  <si>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</si>
  <si>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</si>
  <si>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</si>
  <si>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</si>
  <si>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</si>
  <si>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</si>
  <si>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</si>
  <si>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</si>
  <si>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</si>
  <si>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</si>
  <si>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</si>
  <si>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</si>
  <si>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</si>
  <si>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</si>
  <si>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</si>
  <si>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</si>
  <si>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</si>
  <si>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</si>
  <si>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Tabelle 4:</t>
  </si>
  <si>
    <t>zu Kapitel 3, thermische Solaranlagen</t>
  </si>
  <si>
    <t>%</t>
  </si>
  <si>
    <t>Fläche Kollektor</t>
  </si>
  <si>
    <t>Vorlauftemperatur</t>
  </si>
  <si>
    <t>Variante 6 a</t>
  </si>
  <si>
    <t>Variante 6 b</t>
  </si>
  <si>
    <t>Variante 6 c</t>
  </si>
  <si>
    <t>Variante 6 d</t>
  </si>
  <si>
    <t>Variante 6 e</t>
  </si>
  <si>
    <t>thermische</t>
  </si>
  <si>
    <t xml:space="preserve">Solaranlage </t>
  </si>
  <si>
    <t>nur Brauchwasser</t>
  </si>
  <si>
    <t>Flachkollektor</t>
  </si>
  <si>
    <t>Röhrenkollektor</t>
  </si>
  <si>
    <t>auch Heizung</t>
  </si>
  <si>
    <t>nur Heizung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</si>
  <si>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</si>
  <si>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</si>
  <si>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</si>
  <si>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</si>
  <si>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</si>
  <si>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</si>
  <si>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</si>
  <si>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</si>
  <si>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</si>
  <si>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Solarertrag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</si>
  <si>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</si>
  <si>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</si>
  <si>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</si>
  <si>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</si>
  <si>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</si>
  <si>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</si>
  <si>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</si>
  <si>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</si>
  <si>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</si>
  <si>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</si>
  <si>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</si>
  <si>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</si>
  <si>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</si>
  <si>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</si>
  <si>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</si>
  <si>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</si>
  <si>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</si>
  <si>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</si>
  <si>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</si>
  <si>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</si>
  <si>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</si>
  <si>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</si>
  <si>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</si>
  <si>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</si>
  <si>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</si>
  <si>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</si>
  <si>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Autarkie gesamt</t>
  </si>
  <si>
    <r>
      <t>Variante 6 c</t>
    </r>
    <r>
      <rPr>
        <sz val="10"/>
        <rFont val="Arial"/>
        <family val="2"/>
      </rPr>
      <t xml:space="preserve"> 1</t>
    </r>
  </si>
  <si>
    <t>hohe Temperatur</t>
  </si>
  <si>
    <t>Variante 6 c 2</t>
  </si>
  <si>
    <t>groß</t>
  </si>
  <si>
    <t>Variante 6 f</t>
  </si>
  <si>
    <t>6 + 12 m²</t>
  </si>
  <si>
    <t>Brauchwasser und</t>
  </si>
  <si>
    <t>6 + 5 m²</t>
  </si>
  <si>
    <t>Sonstige Betriebskosten pro Jahr</t>
  </si>
  <si>
    <t>Variante 6 a - 1</t>
  </si>
  <si>
    <t>thermische Solar-</t>
  </si>
  <si>
    <t>anlage, nur Brauch-</t>
  </si>
  <si>
    <t>wasser, Flachkol-</t>
  </si>
  <si>
    <t>lektor,  Brauch-</t>
  </si>
  <si>
    <t>wasser elektrisch</t>
  </si>
  <si>
    <t>Einsparung pro Jahr</t>
  </si>
  <si>
    <t>WWVerl</t>
  </si>
  <si>
    <t>WWNutz</t>
  </si>
  <si>
    <t>Verbl WW</t>
  </si>
  <si>
    <t>Verbl. WW</t>
  </si>
  <si>
    <t>Einsparung</t>
  </si>
  <si>
    <t>Haushalt A</t>
  </si>
  <si>
    <t>Haushalt B</t>
  </si>
  <si>
    <t>Haushalt C</t>
  </si>
  <si>
    <t>Die Förderung bezieht sich auf die neue Bundesförderung für effiziente Gebäude (BEG) ab 01.01.2024</t>
  </si>
  <si>
    <t>maximale förderfähige Summe</t>
  </si>
  <si>
    <t>Fördersatz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</si>
  <si>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</si>
  <si>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</si>
  <si>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</si>
  <si>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Ausrichtungsfaktor  (aus Abb.3, Kap.2)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</si>
  <si>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</si>
  <si>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</si>
  <si>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</si>
  <si>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</si>
  <si>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</si>
  <si>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</si>
  <si>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</si>
  <si>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</si>
  <si>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</si>
  <si>
    <t>Energiekennzahl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</si>
</sst>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0.0\ &quot;m²&quot;"/>
    <numFmt numFmtId="176" formatCode="#,##0\ &quot;oC&quot;"/>
    <numFmt numFmtId="177" formatCode="#,##0\ &quot;kWh/m²a&quot;"/>
    <numFmt numFmtId="178" formatCode="0.0%"/>
    <numFmt numFmtId="179" formatCode="#,##0\ &quot;l/a&quot;"/>
    <numFmt numFmtId="180" formatCode="0\ &quot;m²&quot;"/>
    <numFmt numFmtId="181" formatCode="0\ &quot;oC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6" xfId="0" applyFont="1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0" xfId="0" applyNumberFormat="1" applyFill="1"/>
    <xf numFmtId="171" fontId="0" fillId="10" borderId="0" xfId="0" applyNumberFormat="1" applyFill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172" fontId="0" fillId="10" borderId="0" xfId="0" applyNumberFormat="1" applyFill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9" fontId="3" fillId="2" borderId="2" xfId="0" applyNumberFormat="1" applyFont="1" applyFill="1" applyBorder="1" applyAlignment="1" applyProtection="1">
      <alignment horizontal="right"/>
      <protection locked="0"/>
    </xf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9" fontId="3" fillId="0" borderId="2" xfId="0" applyNumberFormat="1" applyFont="1" applyBorder="1" applyAlignment="1">
      <alignment horizontal="right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177" fontId="3" fillId="10" borderId="2" xfId="0" applyNumberFormat="1" applyFont="1" applyFill="1" applyBorder="1"/>
    <xf numFmtId="3" fontId="8" fillId="10" borderId="12" xfId="0" applyNumberFormat="1" applyFont="1" applyFill="1" applyBorder="1"/>
    <xf numFmtId="0" fontId="0" fillId="12" borderId="0" xfId="0" applyFill="1"/>
    <xf numFmtId="178" fontId="0" fillId="0" borderId="13" xfId="0" applyNumberFormat="1" applyBorder="1"/>
    <xf numFmtId="179" fontId="0" fillId="0" borderId="26" xfId="0" applyNumberFormat="1" applyBorder="1"/>
    <xf numFmtId="179" fontId="3" fillId="0" borderId="26" xfId="0" applyNumberFormat="1" applyFon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180" fontId="3" fillId="10" borderId="2" xfId="0" applyNumberFormat="1" applyFont="1" applyFill="1" applyBorder="1" applyAlignment="1">
      <alignment horizontal="center"/>
    </xf>
    <xf numFmtId="180" fontId="3" fillId="10" borderId="2" xfId="0" applyNumberFormat="1" applyFont="1" applyFill="1" applyBorder="1" applyAlignment="1">
      <alignment horizontal="right"/>
    </xf>
    <xf numFmtId="9" fontId="3" fillId="10" borderId="2" xfId="0" applyNumberFormat="1" applyFont="1" applyFill="1" applyBorder="1" applyAlignment="1">
      <alignment horizontal="center"/>
    </xf>
    <xf numFmtId="9" fontId="3" fillId="10" borderId="2" xfId="0" applyNumberFormat="1" applyFont="1" applyFill="1" applyBorder="1" applyAlignment="1">
      <alignment horizontal="right"/>
    </xf>
    <xf numFmtId="181" fontId="3" fillId="10" borderId="2" xfId="0" applyNumberFormat="1" applyFont="1" applyFill="1" applyBorder="1" applyAlignment="1">
      <alignment horizontal="center"/>
    </xf>
    <xf numFmtId="181" fontId="3" fillId="10" borderId="2" xfId="0" applyNumberFormat="1" applyFont="1" applyFill="1" applyBorder="1" applyAlignment="1">
      <alignment horizontal="right"/>
    </xf>
    <xf numFmtId="169" fontId="8" fillId="10" borderId="10" xfId="0" applyNumberFormat="1" applyFont="1" applyFill="1" applyBorder="1"/>
    <xf numFmtId="171" fontId="0" fillId="10" borderId="2" xfId="0" applyNumberFormat="1" applyFill="1" applyBorder="1"/>
    <xf numFmtId="175" fontId="3" fillId="0" borderId="2" xfId="0" applyNumberFormat="1" applyFont="1" applyBorder="1" applyAlignment="1">
      <alignment horizontal="right"/>
    </xf>
    <xf numFmtId="0" fontId="0" fillId="14" borderId="0" xfId="0" applyFill="1"/>
    <xf numFmtId="0" fontId="1" fillId="0" borderId="30" xfId="0" applyFont="1" applyBorder="1"/>
    <xf numFmtId="1" fontId="0" fillId="0" borderId="29" xfId="0" applyNumberFormat="1" applyBorder="1"/>
    <xf numFmtId="0" fontId="0" fillId="3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3" borderId="0" xfId="0" applyFill="1"/>
    <xf numFmtId="49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64"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C000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B6DF89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ill>
        <patternFill>
          <bgColor rgb="FF69D8FF"/>
        </patternFill>
      </fill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B6DF89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EFC16D"/>
        </patternFill>
      </fill>
    </dxf>
    <dxf>
      <font>
        <b/>
        <i val="0"/>
        <color rgb="FF008000"/>
      </font>
    </dxf>
    <dxf>
      <fill>
        <patternFill>
          <bgColor rgb="FFFF9393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J75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3" s="2" customFormat="1" ht="23.25" x14ac:dyDescent="0.35">
      <c r="A1" s="7" t="s">
        <v>91</v>
      </c>
      <c r="B1" s="2" t="s">
        <v>92</v>
      </c>
    </row>
    <row r="2" spans="1:23" s="2" customFormat="1" ht="23.25" x14ac:dyDescent="0.35">
      <c r="A2" s="7"/>
      <c r="B2" s="8" t="s">
        <v>174</v>
      </c>
    </row>
    <row r="3" spans="1:23" s="2" customFormat="1" ht="23.25" x14ac:dyDescent="0.35">
      <c r="A3" s="7"/>
      <c r="B3" s="52" t="s">
        <v>169</v>
      </c>
      <c r="C3"/>
      <c r="D3"/>
      <c r="E3"/>
      <c r="F3"/>
    </row>
    <row r="4" spans="1:23" ht="24.95" customHeight="1" x14ac:dyDescent="0.2">
      <c r="B4" s="98" t="s">
        <v>172</v>
      </c>
      <c r="C4" s="99"/>
      <c r="D4" s="99"/>
      <c r="E4" s="99"/>
      <c r="F4" s="99"/>
    </row>
    <row r="5" spans="1:23" x14ac:dyDescent="0.2">
      <c r="A5" s="17"/>
      <c r="B5" s="91"/>
      <c r="C5" s="14"/>
      <c r="D5" s="9"/>
      <c r="E5" s="9"/>
      <c r="F5" s="9"/>
      <c r="G5" s="9"/>
      <c r="H5" s="17" t="s">
        <v>29</v>
      </c>
      <c r="I5" s="9"/>
      <c r="J5" s="14"/>
    </row>
    <row r="6" spans="1:23" x14ac:dyDescent="0.2">
      <c r="A6" s="73" t="s">
        <v>39</v>
      </c>
      <c r="B6" s="135">
        <v>1.4</v>
      </c>
      <c r="C6" s="70" t="s">
        <v>87</v>
      </c>
      <c r="D6" s="9"/>
      <c r="E6" s="9"/>
      <c r="F6" s="9"/>
      <c r="G6" s="9"/>
      <c r="H6" s="21" t="s">
        <v>40</v>
      </c>
      <c r="I6" s="96">
        <v>0.31</v>
      </c>
      <c r="J6" s="20" t="s">
        <v>33</v>
      </c>
    </row>
    <row r="7" spans="1:23" x14ac:dyDescent="0.2">
      <c r="A7" s="73" t="s">
        <v>19</v>
      </c>
      <c r="B7" s="135">
        <v>12</v>
      </c>
      <c r="C7" s="70" t="s">
        <v>21</v>
      </c>
      <c r="D7" s="9"/>
      <c r="E7" s="9"/>
      <c r="F7" s="9"/>
      <c r="G7" s="9"/>
      <c r="H7" s="21" t="s">
        <v>30</v>
      </c>
      <c r="I7" s="96">
        <v>0.24</v>
      </c>
      <c r="J7" s="20" t="s">
        <v>33</v>
      </c>
      <c r="K7" s="6"/>
      <c r="L7" s="5"/>
      <c r="M7" s="4"/>
      <c r="N7" s="5"/>
      <c r="O7" s="4"/>
      <c r="P7" s="5"/>
      <c r="Q7" s="4"/>
      <c r="R7" s="4"/>
    </row>
    <row r="8" spans="1:23" x14ac:dyDescent="0.2">
      <c r="A8" s="73" t="s">
        <v>20</v>
      </c>
      <c r="B8" s="135">
        <v>40</v>
      </c>
      <c r="C8" s="70" t="s">
        <v>21</v>
      </c>
      <c r="D8" s="9"/>
      <c r="E8" s="9"/>
      <c r="F8" s="9"/>
      <c r="G8" s="9"/>
      <c r="H8" s="21" t="s">
        <v>22</v>
      </c>
      <c r="I8" s="96">
        <v>0.56000000000000005</v>
      </c>
      <c r="J8" s="20" t="s">
        <v>33</v>
      </c>
      <c r="K8" s="6"/>
      <c r="L8" s="5"/>
      <c r="M8" s="4"/>
      <c r="N8" s="5"/>
      <c r="O8" s="4"/>
      <c r="P8" s="5"/>
      <c r="Q8" s="4"/>
      <c r="R8" s="4"/>
    </row>
    <row r="9" spans="1:23" x14ac:dyDescent="0.2">
      <c r="A9" s="73" t="s">
        <v>119</v>
      </c>
      <c r="B9" s="135">
        <v>1000</v>
      </c>
      <c r="C9" s="69" t="s">
        <v>120</v>
      </c>
      <c r="D9" s="9"/>
      <c r="E9" s="9"/>
      <c r="F9" s="9"/>
      <c r="G9" s="9"/>
      <c r="H9" s="13"/>
      <c r="I9" s="97"/>
      <c r="J9" s="14"/>
      <c r="K9" s="6"/>
      <c r="L9" s="5"/>
      <c r="M9" s="4"/>
      <c r="N9" s="5"/>
      <c r="O9" s="4"/>
      <c r="P9" s="5"/>
      <c r="Q9" s="4"/>
      <c r="R9" s="4"/>
    </row>
    <row r="10" spans="1:23" x14ac:dyDescent="0.2">
      <c r="A10" s="73" t="s">
        <v>69</v>
      </c>
      <c r="B10" s="135">
        <v>0.5</v>
      </c>
      <c r="C10" s="69" t="s">
        <v>93</v>
      </c>
      <c r="D10" s="9"/>
      <c r="E10" s="9"/>
      <c r="F10" s="9"/>
      <c r="G10" s="9"/>
      <c r="H10" s="13"/>
      <c r="I10" s="97"/>
      <c r="J10" s="14"/>
      <c r="K10" s="6"/>
      <c r="L10" s="5"/>
      <c r="M10" s="4"/>
      <c r="N10" s="5"/>
      <c r="O10" s="4"/>
      <c r="P10" s="5"/>
      <c r="Q10" s="4"/>
      <c r="R10" s="4"/>
    </row>
    <row r="11" spans="1:23" x14ac:dyDescent="0.2">
      <c r="A11" s="17"/>
      <c r="B11" s="92"/>
      <c r="C11" s="14"/>
      <c r="D11" s="9"/>
      <c r="E11" s="9"/>
      <c r="F11" s="9"/>
      <c r="G11" s="9"/>
      <c r="H11" s="13"/>
      <c r="I11" s="97"/>
      <c r="J11" s="14"/>
      <c r="K11" s="6"/>
      <c r="L11" s="5"/>
      <c r="M11" s="4"/>
      <c r="N11" s="5"/>
      <c r="O11" s="4"/>
      <c r="P11" s="5"/>
      <c r="Q11" s="4"/>
      <c r="R11" s="5"/>
      <c r="S11" s="4"/>
      <c r="T11" s="4"/>
    </row>
    <row r="12" spans="1:23" x14ac:dyDescent="0.2">
      <c r="A12" s="1"/>
      <c r="K12" s="3"/>
      <c r="L12" s="6"/>
      <c r="M12" s="6"/>
      <c r="N12" s="5"/>
      <c r="O12" s="4"/>
      <c r="P12" s="5"/>
      <c r="Q12" s="4"/>
      <c r="R12" s="4"/>
    </row>
    <row r="13" spans="1:23" s="1" customFormat="1" x14ac:dyDescent="0.2">
      <c r="A13"/>
      <c r="B13" s="3"/>
      <c r="C13" s="3"/>
      <c r="D13" s="6"/>
      <c r="E13" s="6"/>
      <c r="F13" s="3"/>
      <c r="G13" s="3"/>
      <c r="H13" s="3"/>
      <c r="I13" s="3"/>
      <c r="J13" s="6"/>
      <c r="K13" s="6"/>
      <c r="L13" s="5"/>
      <c r="M13" s="4"/>
    </row>
    <row r="14" spans="1:23" s="1" customFormat="1" x14ac:dyDescent="0.2">
      <c r="A14" s="24" t="s">
        <v>0</v>
      </c>
      <c r="B14" s="25" t="s">
        <v>35</v>
      </c>
      <c r="C14" s="25" t="s">
        <v>96</v>
      </c>
      <c r="D14" s="25" t="s">
        <v>97</v>
      </c>
      <c r="E14" s="25" t="s">
        <v>98</v>
      </c>
      <c r="F14" s="25" t="s">
        <v>145</v>
      </c>
      <c r="G14" s="25" t="s">
        <v>147</v>
      </c>
      <c r="H14" s="27" t="s">
        <v>99</v>
      </c>
      <c r="I14" s="27" t="s">
        <v>100</v>
      </c>
      <c r="J14" s="26" t="s">
        <v>35</v>
      </c>
      <c r="K14" s="26" t="s">
        <v>96</v>
      </c>
      <c r="L14" s="26" t="s">
        <v>97</v>
      </c>
      <c r="M14" s="26" t="s">
        <v>98</v>
      </c>
      <c r="N14" s="25" t="s">
        <v>99</v>
      </c>
      <c r="O14" s="25" t="s">
        <v>100</v>
      </c>
      <c r="P14" s="25" t="s">
        <v>149</v>
      </c>
      <c r="Q14" s="26" t="s">
        <v>35</v>
      </c>
      <c r="R14" s="26" t="s">
        <v>96</v>
      </c>
      <c r="S14" s="26" t="s">
        <v>97</v>
      </c>
      <c r="T14" s="26" t="s">
        <v>98</v>
      </c>
      <c r="U14" s="25" t="s">
        <v>99</v>
      </c>
      <c r="V14" s="25" t="s">
        <v>100</v>
      </c>
      <c r="W14" s="25" t="s">
        <v>149</v>
      </c>
    </row>
    <row r="15" spans="1:23" s="1" customFormat="1" x14ac:dyDescent="0.2">
      <c r="A15" s="22"/>
      <c r="B15" s="22" t="s">
        <v>166</v>
      </c>
      <c r="C15" s="22" t="s">
        <v>101</v>
      </c>
      <c r="D15" s="22" t="s">
        <v>101</v>
      </c>
      <c r="E15" s="22" t="s">
        <v>101</v>
      </c>
      <c r="F15" s="22" t="s">
        <v>101</v>
      </c>
      <c r="G15" s="22" t="s">
        <v>101</v>
      </c>
      <c r="H15" s="22" t="s">
        <v>101</v>
      </c>
      <c r="I15" s="22" t="s">
        <v>101</v>
      </c>
      <c r="J15" s="22" t="s">
        <v>167</v>
      </c>
      <c r="K15" s="22" t="s">
        <v>101</v>
      </c>
      <c r="L15" s="22" t="s">
        <v>101</v>
      </c>
      <c r="M15" s="22" t="s">
        <v>101</v>
      </c>
      <c r="N15" s="22" t="s">
        <v>101</v>
      </c>
      <c r="O15" s="22" t="s">
        <v>101</v>
      </c>
      <c r="P15" s="22" t="s">
        <v>101</v>
      </c>
      <c r="Q15" s="22" t="s">
        <v>168</v>
      </c>
      <c r="R15" s="22" t="s">
        <v>101</v>
      </c>
      <c r="S15" s="22" t="s">
        <v>101</v>
      </c>
      <c r="T15" s="22" t="s">
        <v>101</v>
      </c>
      <c r="U15" s="22" t="s">
        <v>101</v>
      </c>
      <c r="V15" s="22" t="s">
        <v>101</v>
      </c>
      <c r="W15" s="22" t="s">
        <v>101</v>
      </c>
    </row>
    <row r="16" spans="1:23" s="1" customFormat="1" x14ac:dyDescent="0.2">
      <c r="A16" s="22"/>
      <c r="B16" s="22"/>
      <c r="C16" s="22" t="s">
        <v>102</v>
      </c>
      <c r="D16" s="22" t="s">
        <v>102</v>
      </c>
      <c r="E16" s="22" t="s">
        <v>102</v>
      </c>
      <c r="F16" s="22" t="s">
        <v>102</v>
      </c>
      <c r="G16" s="22" t="s">
        <v>102</v>
      </c>
      <c r="H16" s="22" t="s">
        <v>102</v>
      </c>
      <c r="I16" s="22" t="s">
        <v>102</v>
      </c>
      <c r="J16" s="22"/>
      <c r="K16" s="22" t="s">
        <v>102</v>
      </c>
      <c r="L16" s="22" t="s">
        <v>102</v>
      </c>
      <c r="M16" s="22" t="s">
        <v>102</v>
      </c>
      <c r="N16" s="22" t="s">
        <v>102</v>
      </c>
      <c r="O16" s="22" t="s">
        <v>102</v>
      </c>
      <c r="P16" s="22" t="s">
        <v>102</v>
      </c>
      <c r="Q16" s="22"/>
      <c r="R16" s="22" t="s">
        <v>102</v>
      </c>
      <c r="S16" s="22" t="s">
        <v>102</v>
      </c>
      <c r="T16" s="22" t="s">
        <v>102</v>
      </c>
      <c r="U16" s="22" t="s">
        <v>102</v>
      </c>
      <c r="V16" s="22" t="s">
        <v>102</v>
      </c>
      <c r="W16" s="22" t="s">
        <v>102</v>
      </c>
    </row>
    <row r="17" spans="1:62" s="1" customFormat="1" x14ac:dyDescent="0.2">
      <c r="A17" s="22"/>
      <c r="B17" s="22"/>
      <c r="C17" s="22" t="s">
        <v>103</v>
      </c>
      <c r="D17" s="22" t="s">
        <v>103</v>
      </c>
      <c r="E17" s="22" t="s">
        <v>106</v>
      </c>
      <c r="F17" s="22" t="s">
        <v>106</v>
      </c>
      <c r="G17" s="22" t="s">
        <v>106</v>
      </c>
      <c r="H17" s="22" t="s">
        <v>106</v>
      </c>
      <c r="I17" s="22" t="s">
        <v>107</v>
      </c>
      <c r="J17" s="22"/>
      <c r="K17" s="22" t="s">
        <v>103</v>
      </c>
      <c r="L17" s="22" t="s">
        <v>103</v>
      </c>
      <c r="M17" s="22" t="s">
        <v>106</v>
      </c>
      <c r="N17" s="22" t="s">
        <v>106</v>
      </c>
      <c r="O17" s="22" t="s">
        <v>107</v>
      </c>
      <c r="P17" s="22" t="s">
        <v>151</v>
      </c>
      <c r="Q17" s="22"/>
      <c r="R17" s="22" t="s">
        <v>103</v>
      </c>
      <c r="S17" s="22" t="s">
        <v>103</v>
      </c>
      <c r="T17" s="22" t="s">
        <v>106</v>
      </c>
      <c r="U17" s="22" t="s">
        <v>106</v>
      </c>
      <c r="V17" s="22" t="s">
        <v>107</v>
      </c>
      <c r="W17" s="22" t="s">
        <v>151</v>
      </c>
    </row>
    <row r="18" spans="1:62" s="1" customFormat="1" x14ac:dyDescent="0.2">
      <c r="A18" s="22"/>
      <c r="B18" s="22"/>
      <c r="C18" s="22" t="s">
        <v>104</v>
      </c>
      <c r="D18" s="22" t="s">
        <v>105</v>
      </c>
      <c r="E18" s="22" t="s">
        <v>104</v>
      </c>
      <c r="F18" s="22" t="s">
        <v>104</v>
      </c>
      <c r="G18" s="22" t="s">
        <v>105</v>
      </c>
      <c r="H18" s="22" t="s">
        <v>104</v>
      </c>
      <c r="I18" s="22" t="s">
        <v>108</v>
      </c>
      <c r="J18" s="22"/>
      <c r="K18" s="22" t="s">
        <v>104</v>
      </c>
      <c r="L18" s="22" t="s">
        <v>105</v>
      </c>
      <c r="M18" s="22" t="s">
        <v>104</v>
      </c>
      <c r="N18" s="22" t="s">
        <v>104</v>
      </c>
      <c r="O18" s="22" t="s">
        <v>108</v>
      </c>
      <c r="P18" s="22" t="s">
        <v>108</v>
      </c>
      <c r="Q18" s="22"/>
      <c r="R18" s="22" t="s">
        <v>104</v>
      </c>
      <c r="S18" s="22" t="s">
        <v>105</v>
      </c>
      <c r="T18" s="22" t="s">
        <v>104</v>
      </c>
      <c r="U18" s="22" t="s">
        <v>104</v>
      </c>
      <c r="V18" s="22" t="s">
        <v>108</v>
      </c>
      <c r="W18" s="22" t="s">
        <v>108</v>
      </c>
    </row>
    <row r="19" spans="1:62" s="1" customFormat="1" x14ac:dyDescent="0.2">
      <c r="A19" s="28"/>
      <c r="B19" s="28"/>
      <c r="C19" s="28"/>
      <c r="D19" s="28"/>
      <c r="E19" s="28"/>
      <c r="F19" s="28" t="s">
        <v>146</v>
      </c>
      <c r="G19" s="28"/>
      <c r="H19" s="28" t="s">
        <v>148</v>
      </c>
      <c r="I19" s="28"/>
      <c r="J19" s="28"/>
      <c r="K19" s="28"/>
      <c r="L19" s="28"/>
      <c r="M19" s="28"/>
      <c r="N19" s="28" t="s">
        <v>148</v>
      </c>
      <c r="O19" s="28"/>
      <c r="P19" s="28"/>
      <c r="Q19" s="28"/>
      <c r="R19" s="28"/>
      <c r="S19" s="28"/>
      <c r="T19" s="28"/>
      <c r="U19" s="28" t="s">
        <v>148</v>
      </c>
      <c r="V19" s="28"/>
      <c r="W19" s="28"/>
    </row>
    <row r="20" spans="1:62" s="1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s="1" customFormat="1" x14ac:dyDescent="0.2">
      <c r="A21" s="73" t="s">
        <v>53</v>
      </c>
      <c r="B21" s="124">
        <v>2500</v>
      </c>
      <c r="C21" s="124"/>
      <c r="D21" s="124"/>
      <c r="E21" s="124"/>
      <c r="F21" s="124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s="1" customFormat="1" x14ac:dyDescent="0.2">
      <c r="A22" s="73" t="s">
        <v>72</v>
      </c>
      <c r="B22" s="126"/>
      <c r="C22" s="126"/>
      <c r="D22" s="126"/>
      <c r="E22" s="126"/>
      <c r="F22" s="126"/>
      <c r="G22" s="126"/>
      <c r="H22" s="126"/>
      <c r="I22" s="126"/>
      <c r="J22" s="127">
        <v>15000</v>
      </c>
      <c r="K22" s="127"/>
      <c r="L22" s="127"/>
      <c r="M22" s="125"/>
      <c r="N22" s="125"/>
      <c r="O22" s="125"/>
      <c r="P22" s="125"/>
      <c r="Q22" s="127">
        <v>5500</v>
      </c>
      <c r="R22" s="127"/>
      <c r="S22" s="127"/>
      <c r="T22" s="125"/>
      <c r="U22" s="125"/>
      <c r="V22" s="125"/>
      <c r="W22" s="12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s="1" customFormat="1" x14ac:dyDescent="0.2">
      <c r="A23" s="73" t="s">
        <v>176</v>
      </c>
      <c r="B23" s="128">
        <v>120</v>
      </c>
      <c r="C23" s="128">
        <v>120</v>
      </c>
      <c r="D23" s="128">
        <v>120</v>
      </c>
      <c r="E23" s="128">
        <v>120</v>
      </c>
      <c r="F23" s="128">
        <v>120</v>
      </c>
      <c r="G23" s="128">
        <v>120</v>
      </c>
      <c r="H23" s="128">
        <v>120</v>
      </c>
      <c r="I23" s="128">
        <v>120</v>
      </c>
      <c r="J23" s="128">
        <v>140</v>
      </c>
      <c r="K23" s="128">
        <v>140</v>
      </c>
      <c r="L23" s="128">
        <v>140</v>
      </c>
      <c r="M23" s="128">
        <v>140</v>
      </c>
      <c r="N23" s="128">
        <v>140</v>
      </c>
      <c r="O23" s="128">
        <v>140</v>
      </c>
      <c r="P23" s="128">
        <v>140</v>
      </c>
      <c r="Q23" s="128">
        <v>120</v>
      </c>
      <c r="R23" s="128">
        <v>120</v>
      </c>
      <c r="S23" s="128">
        <v>120</v>
      </c>
      <c r="T23" s="128">
        <v>120</v>
      </c>
      <c r="U23" s="128">
        <v>120</v>
      </c>
      <c r="V23" s="128">
        <v>120</v>
      </c>
      <c r="W23" s="128">
        <v>120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s="1" customFormat="1" x14ac:dyDescent="0.2">
      <c r="A24" s="73" t="s">
        <v>94</v>
      </c>
      <c r="B24" s="126"/>
      <c r="C24" s="128">
        <v>3</v>
      </c>
      <c r="D24" s="128">
        <v>3</v>
      </c>
      <c r="E24" s="128">
        <v>12</v>
      </c>
      <c r="F24" s="128">
        <v>12</v>
      </c>
      <c r="G24" s="128">
        <v>9</v>
      </c>
      <c r="H24" s="128">
        <v>39</v>
      </c>
      <c r="I24" s="128">
        <v>12</v>
      </c>
      <c r="J24" s="125"/>
      <c r="K24" s="128">
        <v>6</v>
      </c>
      <c r="L24" s="128">
        <v>6</v>
      </c>
      <c r="M24" s="128">
        <v>12</v>
      </c>
      <c r="N24" s="128">
        <v>39</v>
      </c>
      <c r="O24" s="128">
        <v>12</v>
      </c>
      <c r="P24" s="128" t="s">
        <v>150</v>
      </c>
      <c r="Q24" s="125"/>
      <c r="R24" s="129">
        <v>6</v>
      </c>
      <c r="S24" s="129">
        <v>6</v>
      </c>
      <c r="T24" s="129">
        <v>12</v>
      </c>
      <c r="U24" s="129">
        <v>15</v>
      </c>
      <c r="V24" s="129">
        <v>5</v>
      </c>
      <c r="W24" s="129" t="s">
        <v>152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1" customFormat="1" x14ac:dyDescent="0.2">
      <c r="A25" s="73" t="s">
        <v>175</v>
      </c>
      <c r="B25" s="126"/>
      <c r="C25" s="130">
        <v>1.1000000000000001</v>
      </c>
      <c r="D25" s="130">
        <v>1.1000000000000001</v>
      </c>
      <c r="E25" s="130">
        <v>1.1000000000000001</v>
      </c>
      <c r="F25" s="130">
        <v>1.1000000000000001</v>
      </c>
      <c r="G25" s="130">
        <v>1.1000000000000001</v>
      </c>
      <c r="H25" s="130">
        <v>1.1000000000000001</v>
      </c>
      <c r="I25" s="130">
        <v>1.1000000000000001</v>
      </c>
      <c r="J25" s="125"/>
      <c r="K25" s="130">
        <v>1.1000000000000001</v>
      </c>
      <c r="L25" s="130">
        <v>1.1000000000000001</v>
      </c>
      <c r="M25" s="130">
        <v>1.1000000000000001</v>
      </c>
      <c r="N25" s="130">
        <v>1.1000000000000001</v>
      </c>
      <c r="O25" s="130">
        <v>1.1000000000000001</v>
      </c>
      <c r="P25" s="130">
        <v>1.1000000000000001</v>
      </c>
      <c r="Q25" s="125"/>
      <c r="R25" s="131">
        <v>1.1000000000000001</v>
      </c>
      <c r="S25" s="131">
        <v>1.1000000000000001</v>
      </c>
      <c r="T25" s="131">
        <v>1.1000000000000001</v>
      </c>
      <c r="U25" s="131">
        <v>1.1000000000000001</v>
      </c>
      <c r="V25" s="131">
        <v>1.1000000000000001</v>
      </c>
      <c r="W25" s="131">
        <v>1.1000000000000001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s="1" customFormat="1" x14ac:dyDescent="0.2">
      <c r="A26" s="73" t="s">
        <v>95</v>
      </c>
      <c r="B26" s="126"/>
      <c r="C26" s="132"/>
      <c r="D26" s="132"/>
      <c r="E26" s="132">
        <v>35</v>
      </c>
      <c r="F26" s="132">
        <v>70</v>
      </c>
      <c r="G26" s="132">
        <v>35</v>
      </c>
      <c r="H26" s="132">
        <v>35</v>
      </c>
      <c r="I26" s="132"/>
      <c r="J26" s="125"/>
      <c r="K26" s="132"/>
      <c r="L26" s="132"/>
      <c r="M26" s="132">
        <v>35</v>
      </c>
      <c r="N26" s="132">
        <v>35</v>
      </c>
      <c r="O26" s="132"/>
      <c r="P26" s="132"/>
      <c r="Q26" s="125"/>
      <c r="R26" s="133"/>
      <c r="S26" s="133"/>
      <c r="T26" s="133">
        <v>35</v>
      </c>
      <c r="U26" s="133">
        <v>35</v>
      </c>
      <c r="V26" s="133"/>
      <c r="W26" s="133"/>
    </row>
    <row r="27" spans="1:62" s="1" customFormat="1" x14ac:dyDescent="0.2">
      <c r="A27" s="73" t="s">
        <v>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62" s="1" customFormat="1" x14ac:dyDescent="0.2">
      <c r="A28" s="73" t="s">
        <v>38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62" s="1" customFormat="1" x14ac:dyDescent="0.2">
      <c r="A29" s="73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62" s="1" customFormat="1" x14ac:dyDescent="0.2">
      <c r="A30" s="73" t="s">
        <v>37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62" s="1" customFormat="1" x14ac:dyDescent="0.2">
      <c r="A31" s="73" t="s">
        <v>6</v>
      </c>
      <c r="B31" s="88"/>
      <c r="C31" s="88">
        <v>8000</v>
      </c>
      <c r="D31" s="88">
        <v>9000</v>
      </c>
      <c r="E31" s="88">
        <v>13000</v>
      </c>
      <c r="F31" s="88">
        <v>13000</v>
      </c>
      <c r="G31" s="88">
        <v>13000</v>
      </c>
      <c r="H31" s="88">
        <v>25000</v>
      </c>
      <c r="I31" s="88">
        <v>10000</v>
      </c>
      <c r="J31" s="88"/>
      <c r="K31" s="88">
        <v>8000</v>
      </c>
      <c r="L31" s="88">
        <v>10000</v>
      </c>
      <c r="M31" s="88">
        <v>13000</v>
      </c>
      <c r="N31" s="88">
        <v>25000</v>
      </c>
      <c r="O31" s="88">
        <v>10000</v>
      </c>
      <c r="P31" s="88">
        <v>18000</v>
      </c>
      <c r="Q31" s="88"/>
      <c r="R31" s="88">
        <v>8000</v>
      </c>
      <c r="S31" s="88">
        <v>10000</v>
      </c>
      <c r="T31" s="88">
        <v>13000</v>
      </c>
      <c r="U31" s="88">
        <v>15000</v>
      </c>
      <c r="V31" s="88">
        <v>6000</v>
      </c>
      <c r="W31" s="88">
        <f>6000+R31</f>
        <v>14000</v>
      </c>
    </row>
    <row r="32" spans="1:62" s="1" customFormat="1" x14ac:dyDescent="0.2">
      <c r="A32" s="73" t="s">
        <v>11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s="1" customFormat="1" x14ac:dyDescent="0.2">
      <c r="A33" s="73" t="s">
        <v>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s="1" customFormat="1" x14ac:dyDescent="0.2">
      <c r="A34" s="73" t="s">
        <v>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s="1" customFormat="1" x14ac:dyDescent="0.2">
      <c r="A35" s="73" t="s">
        <v>10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2">
      <c r="A36" s="89" t="s">
        <v>12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x14ac:dyDescent="0.2">
      <c r="A37" s="29" t="s">
        <v>1</v>
      </c>
      <c r="B37" s="30">
        <f>SUM(B27:B36)</f>
        <v>0</v>
      </c>
      <c r="C37" s="30">
        <v>8000</v>
      </c>
      <c r="D37" s="30">
        <v>9000</v>
      </c>
      <c r="E37" s="30">
        <v>13000</v>
      </c>
      <c r="F37" s="30">
        <v>13000</v>
      </c>
      <c r="G37" s="30">
        <v>13000</v>
      </c>
      <c r="H37" s="30">
        <f t="shared" ref="H37" si="0">SUM(H27:H36)</f>
        <v>25000</v>
      </c>
      <c r="I37" s="30">
        <f t="shared" ref="I37:V37" si="1">SUM(I27:I36)</f>
        <v>10000</v>
      </c>
      <c r="J37" s="30">
        <v>0</v>
      </c>
      <c r="K37" s="30">
        <f t="shared" ref="K37:M37" si="2">SUM(K27:K36)</f>
        <v>8000</v>
      </c>
      <c r="L37" s="30">
        <f t="shared" si="2"/>
        <v>10000</v>
      </c>
      <c r="M37" s="30">
        <f t="shared" si="2"/>
        <v>13000</v>
      </c>
      <c r="N37" s="30">
        <f t="shared" ref="N37" si="3">SUM(N27:N36)</f>
        <v>25000</v>
      </c>
      <c r="O37" s="30">
        <f t="shared" si="1"/>
        <v>10000</v>
      </c>
      <c r="P37" s="30">
        <f t="shared" ref="P37" si="4">SUM(P27:P36)</f>
        <v>18000</v>
      </c>
      <c r="Q37" s="30">
        <f t="shared" si="1"/>
        <v>0</v>
      </c>
      <c r="R37" s="30">
        <f>R31</f>
        <v>8000</v>
      </c>
      <c r="S37" s="30">
        <f t="shared" ref="S37:T37" si="5">S31</f>
        <v>10000</v>
      </c>
      <c r="T37" s="30">
        <f t="shared" si="5"/>
        <v>13000</v>
      </c>
      <c r="U37" s="30">
        <f t="shared" si="1"/>
        <v>15000</v>
      </c>
      <c r="V37" s="30">
        <f t="shared" si="1"/>
        <v>6000</v>
      </c>
      <c r="W37" s="30">
        <f t="shared" ref="W37" si="6">SUM(W27:W36)</f>
        <v>14000</v>
      </c>
    </row>
    <row r="38" spans="1:23" x14ac:dyDescent="0.2">
      <c r="A38" s="24" t="s">
        <v>61</v>
      </c>
      <c r="B38" s="95"/>
      <c r="C38" s="95">
        <v>8000</v>
      </c>
      <c r="D38" s="95">
        <v>9000</v>
      </c>
      <c r="E38" s="95">
        <v>13000</v>
      </c>
      <c r="F38" s="95">
        <v>13000</v>
      </c>
      <c r="G38" s="95">
        <v>13000</v>
      </c>
      <c r="H38" s="95">
        <v>25000</v>
      </c>
      <c r="I38" s="95">
        <v>10000</v>
      </c>
      <c r="J38" s="95"/>
      <c r="K38" s="95">
        <v>8000</v>
      </c>
      <c r="L38" s="95">
        <v>10000</v>
      </c>
      <c r="M38" s="95">
        <v>13000</v>
      </c>
      <c r="N38" s="95">
        <v>25000</v>
      </c>
      <c r="O38" s="95">
        <v>10000</v>
      </c>
      <c r="P38" s="95">
        <v>18000</v>
      </c>
      <c r="Q38" s="95"/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</row>
    <row r="39" spans="1:23" x14ac:dyDescent="0.2">
      <c r="A39" s="24" t="s">
        <v>62</v>
      </c>
      <c r="B39" s="95"/>
      <c r="C39" s="95">
        <v>4800</v>
      </c>
      <c r="D39" s="95">
        <v>5400</v>
      </c>
      <c r="E39" s="95">
        <f>0.6*E38</f>
        <v>7800</v>
      </c>
      <c r="F39" s="95">
        <f t="shared" ref="F39:I39" si="7">0.6*F38</f>
        <v>7800</v>
      </c>
      <c r="G39" s="95">
        <f t="shared" si="7"/>
        <v>7800</v>
      </c>
      <c r="H39" s="95">
        <f t="shared" si="7"/>
        <v>15000</v>
      </c>
      <c r="I39" s="95">
        <f t="shared" si="7"/>
        <v>6000</v>
      </c>
      <c r="J39" s="95"/>
      <c r="K39" s="95">
        <v>4800</v>
      </c>
      <c r="L39" s="95">
        <v>6000</v>
      </c>
      <c r="M39" s="95">
        <v>7800</v>
      </c>
      <c r="N39" s="95">
        <v>15000</v>
      </c>
      <c r="O39" s="95">
        <v>6000</v>
      </c>
      <c r="P39" s="95">
        <v>10800</v>
      </c>
      <c r="Q39" s="95"/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</row>
    <row r="40" spans="1:23" x14ac:dyDescent="0.2">
      <c r="A40" s="24" t="s">
        <v>63</v>
      </c>
      <c r="B40" s="95"/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/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/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</row>
    <row r="41" spans="1:23" x14ac:dyDescent="0.2">
      <c r="A41" s="33" t="s">
        <v>5</v>
      </c>
      <c r="B41" s="31"/>
      <c r="C41" s="31">
        <v>4800</v>
      </c>
      <c r="D41" s="31">
        <v>5400</v>
      </c>
      <c r="E41" s="31">
        <f>E39</f>
        <v>7800</v>
      </c>
      <c r="F41" s="31">
        <f t="shared" ref="F41:I41" si="8">F39</f>
        <v>7800</v>
      </c>
      <c r="G41" s="31">
        <f t="shared" si="8"/>
        <v>7800</v>
      </c>
      <c r="H41" s="31">
        <f t="shared" si="8"/>
        <v>15000</v>
      </c>
      <c r="I41" s="31">
        <f t="shared" si="8"/>
        <v>6000</v>
      </c>
      <c r="J41" s="31"/>
      <c r="K41" s="31">
        <f>K39+K40</f>
        <v>4800</v>
      </c>
      <c r="L41" s="31">
        <f t="shared" ref="L41:O41" si="9">L39+L40</f>
        <v>6000</v>
      </c>
      <c r="M41" s="31">
        <f t="shared" si="9"/>
        <v>7800</v>
      </c>
      <c r="N41" s="31">
        <f t="shared" si="9"/>
        <v>15000</v>
      </c>
      <c r="O41" s="31">
        <f t="shared" si="9"/>
        <v>6000</v>
      </c>
      <c r="P41" s="31">
        <f t="shared" ref="P41" si="10">P39+P40</f>
        <v>10800</v>
      </c>
      <c r="Q41" s="31"/>
      <c r="R41" s="31">
        <v>0</v>
      </c>
      <c r="S41" s="31">
        <v>0</v>
      </c>
      <c r="T41" s="31">
        <f t="shared" ref="T41:V41" si="11">T39+T40</f>
        <v>0</v>
      </c>
      <c r="U41" s="31">
        <v>0</v>
      </c>
      <c r="V41" s="31">
        <f t="shared" si="11"/>
        <v>0</v>
      </c>
      <c r="W41" s="31">
        <f t="shared" ref="W41" si="12">W39+W40</f>
        <v>0</v>
      </c>
    </row>
    <row r="42" spans="1:23" x14ac:dyDescent="0.2">
      <c r="A42" s="22" t="s">
        <v>13</v>
      </c>
      <c r="B42" s="23">
        <f t="shared" ref="B42:H42" si="13">B37-B41</f>
        <v>0</v>
      </c>
      <c r="C42" s="23">
        <f t="shared" si="13"/>
        <v>3200</v>
      </c>
      <c r="D42" s="23">
        <f t="shared" si="13"/>
        <v>3600</v>
      </c>
      <c r="E42" s="23">
        <f t="shared" si="13"/>
        <v>5200</v>
      </c>
      <c r="F42" s="23">
        <f t="shared" si="13"/>
        <v>5200</v>
      </c>
      <c r="G42" s="23">
        <f t="shared" si="13"/>
        <v>5200</v>
      </c>
      <c r="H42" s="23">
        <f t="shared" si="13"/>
        <v>10000</v>
      </c>
      <c r="I42" s="23">
        <f t="shared" ref="I42:V42" si="14">I37-I41</f>
        <v>4000</v>
      </c>
      <c r="J42" s="23">
        <v>0</v>
      </c>
      <c r="K42" s="23">
        <f>K37-K41</f>
        <v>3200</v>
      </c>
      <c r="L42" s="23">
        <f t="shared" ref="L42:O42" si="15">L37-L41</f>
        <v>4000</v>
      </c>
      <c r="M42" s="23">
        <f t="shared" si="15"/>
        <v>5200</v>
      </c>
      <c r="N42" s="23">
        <f t="shared" si="15"/>
        <v>10000</v>
      </c>
      <c r="O42" s="23">
        <f t="shared" si="15"/>
        <v>4000</v>
      </c>
      <c r="P42" s="23">
        <f t="shared" ref="P42" si="16">P37-P41</f>
        <v>7200</v>
      </c>
      <c r="Q42" s="23">
        <f t="shared" si="14"/>
        <v>0</v>
      </c>
      <c r="R42" s="23">
        <f t="shared" si="14"/>
        <v>8000</v>
      </c>
      <c r="S42" s="23">
        <f t="shared" si="14"/>
        <v>10000</v>
      </c>
      <c r="T42" s="23">
        <f t="shared" si="14"/>
        <v>13000</v>
      </c>
      <c r="U42" s="23">
        <f t="shared" si="14"/>
        <v>15000</v>
      </c>
      <c r="V42" s="23">
        <f t="shared" si="14"/>
        <v>6000</v>
      </c>
      <c r="W42" s="23">
        <f t="shared" ref="W42" si="17">W37-W41</f>
        <v>14000</v>
      </c>
    </row>
    <row r="43" spans="1:23" x14ac:dyDescent="0.2">
      <c r="A43" s="29" t="s">
        <v>45</v>
      </c>
      <c r="B43" s="30">
        <v>0</v>
      </c>
      <c r="C43" s="30">
        <f>C42</f>
        <v>3200</v>
      </c>
      <c r="D43" s="30">
        <f>D42</f>
        <v>3600</v>
      </c>
      <c r="E43" s="30">
        <f>E42</f>
        <v>5200</v>
      </c>
      <c r="F43" s="30">
        <f t="shared" ref="F43:I43" si="18">F42</f>
        <v>5200</v>
      </c>
      <c r="G43" s="30">
        <f t="shared" si="18"/>
        <v>5200</v>
      </c>
      <c r="H43" s="30">
        <f t="shared" si="18"/>
        <v>10000</v>
      </c>
      <c r="I43" s="30">
        <f t="shared" si="18"/>
        <v>4000</v>
      </c>
      <c r="J43" s="30">
        <f t="shared" ref="J43" si="19">J42-$B$42</f>
        <v>0</v>
      </c>
      <c r="K43" s="30">
        <f>K42</f>
        <v>3200</v>
      </c>
      <c r="L43" s="30">
        <f t="shared" ref="L43:O43" si="20">L42</f>
        <v>4000</v>
      </c>
      <c r="M43" s="30">
        <f t="shared" si="20"/>
        <v>5200</v>
      </c>
      <c r="N43" s="30">
        <f t="shared" si="20"/>
        <v>10000</v>
      </c>
      <c r="O43" s="30">
        <f t="shared" si="20"/>
        <v>4000</v>
      </c>
      <c r="P43" s="30">
        <f t="shared" ref="P43" si="21">P42</f>
        <v>7200</v>
      </c>
      <c r="Q43" s="30">
        <f>Q42-$B$37</f>
        <v>0</v>
      </c>
      <c r="R43" s="30">
        <f t="shared" ref="R43:S43" si="22">R42-$B$42</f>
        <v>8000</v>
      </c>
      <c r="S43" s="30">
        <f t="shared" si="22"/>
        <v>10000</v>
      </c>
      <c r="T43" s="30">
        <f>T42-$B$42</f>
        <v>13000</v>
      </c>
      <c r="U43" s="30">
        <f>U42-$B$42</f>
        <v>15000</v>
      </c>
      <c r="V43" s="30">
        <f>V42-$B$42</f>
        <v>6000</v>
      </c>
      <c r="W43" s="30">
        <f>W42-$B$42</f>
        <v>14000</v>
      </c>
    </row>
    <row r="44" spans="1:23" x14ac:dyDescent="0.2">
      <c r="A44" s="35" t="s">
        <v>66</v>
      </c>
      <c r="B44" s="36">
        <v>17520</v>
      </c>
      <c r="C44" s="36">
        <f>B44</f>
        <v>17520</v>
      </c>
      <c r="D44" s="36">
        <f t="shared" ref="D44:I44" si="23">C44</f>
        <v>17520</v>
      </c>
      <c r="E44" s="36">
        <f t="shared" si="23"/>
        <v>17520</v>
      </c>
      <c r="F44" s="36">
        <f t="shared" si="23"/>
        <v>17520</v>
      </c>
      <c r="G44" s="36">
        <f t="shared" si="23"/>
        <v>17520</v>
      </c>
      <c r="H44" s="36">
        <f t="shared" si="23"/>
        <v>17520</v>
      </c>
      <c r="I44" s="36">
        <f t="shared" si="23"/>
        <v>17520</v>
      </c>
      <c r="J44" s="36">
        <v>9900</v>
      </c>
      <c r="K44" s="36">
        <v>9900</v>
      </c>
      <c r="L44" s="36">
        <v>9900</v>
      </c>
      <c r="M44" s="36">
        <v>9900</v>
      </c>
      <c r="N44" s="36">
        <v>9900</v>
      </c>
      <c r="O44" s="36">
        <v>9900</v>
      </c>
      <c r="P44" s="36">
        <v>9900</v>
      </c>
      <c r="Q44" s="36">
        <v>1800</v>
      </c>
      <c r="R44" s="36">
        <v>1800</v>
      </c>
      <c r="S44" s="36">
        <v>1800</v>
      </c>
      <c r="T44" s="36">
        <v>1800</v>
      </c>
      <c r="U44" s="36">
        <v>1800</v>
      </c>
      <c r="V44" s="36">
        <v>1800</v>
      </c>
      <c r="W44" s="36">
        <v>1800</v>
      </c>
    </row>
    <row r="45" spans="1:23" x14ac:dyDescent="0.2">
      <c r="A45" s="83" t="s">
        <v>67</v>
      </c>
      <c r="B45" s="105">
        <v>1600</v>
      </c>
      <c r="C45" s="105">
        <f>B45</f>
        <v>1600</v>
      </c>
      <c r="D45" s="105">
        <f t="shared" ref="D45:I45" si="24">C45</f>
        <v>1600</v>
      </c>
      <c r="E45" s="105">
        <f t="shared" si="24"/>
        <v>1600</v>
      </c>
      <c r="F45" s="105">
        <f t="shared" si="24"/>
        <v>1600</v>
      </c>
      <c r="G45" s="105">
        <f t="shared" si="24"/>
        <v>1600</v>
      </c>
      <c r="H45" s="105">
        <f t="shared" si="24"/>
        <v>1600</v>
      </c>
      <c r="I45" s="105">
        <f t="shared" si="24"/>
        <v>1600</v>
      </c>
      <c r="J45" s="105">
        <v>3200</v>
      </c>
      <c r="K45" s="105">
        <v>3200</v>
      </c>
      <c r="L45" s="105">
        <v>3200</v>
      </c>
      <c r="M45" s="105">
        <v>3200</v>
      </c>
      <c r="N45" s="105">
        <v>3200</v>
      </c>
      <c r="O45" s="105">
        <v>3200</v>
      </c>
      <c r="P45" s="105">
        <v>3200</v>
      </c>
      <c r="Q45" s="105">
        <v>3200</v>
      </c>
      <c r="R45" s="105">
        <v>3200</v>
      </c>
      <c r="S45" s="105">
        <v>3200</v>
      </c>
      <c r="T45" s="105">
        <v>3200</v>
      </c>
      <c r="U45" s="105">
        <v>3200</v>
      </c>
      <c r="V45" s="105">
        <v>3200</v>
      </c>
      <c r="W45" s="105">
        <v>3200</v>
      </c>
    </row>
    <row r="46" spans="1:23" x14ac:dyDescent="0.2">
      <c r="A46" s="83" t="s">
        <v>112</v>
      </c>
      <c r="B46" s="105"/>
      <c r="C46" s="105">
        <v>1110</v>
      </c>
      <c r="D46" s="105">
        <v>1440</v>
      </c>
      <c r="E46" s="105">
        <v>5040</v>
      </c>
      <c r="F46" s="105">
        <v>4440</v>
      </c>
      <c r="G46" s="105">
        <v>4540</v>
      </c>
      <c r="H46" s="105">
        <v>10530</v>
      </c>
      <c r="I46" s="105">
        <v>4920</v>
      </c>
      <c r="J46" s="105"/>
      <c r="K46" s="105">
        <v>2400</v>
      </c>
      <c r="L46" s="105">
        <v>2583</v>
      </c>
      <c r="M46" s="105">
        <v>4920</v>
      </c>
      <c r="N46" s="105">
        <v>10530</v>
      </c>
      <c r="O46" s="105">
        <v>4440</v>
      </c>
      <c r="P46" s="105">
        <f>4440+2400</f>
        <v>6840</v>
      </c>
      <c r="Q46" s="105"/>
      <c r="R46" s="105">
        <v>2400</v>
      </c>
      <c r="S46" s="105">
        <v>2583</v>
      </c>
      <c r="T46" s="105">
        <v>4320</v>
      </c>
      <c r="U46" s="105">
        <v>4941</v>
      </c>
      <c r="V46" s="105">
        <v>1800</v>
      </c>
      <c r="W46" s="105">
        <f>V46+R46</f>
        <v>4200</v>
      </c>
    </row>
    <row r="47" spans="1:23" x14ac:dyDescent="0.2">
      <c r="A47" s="83" t="s">
        <v>160</v>
      </c>
      <c r="B47" s="105"/>
      <c r="C47" s="105">
        <v>3310</v>
      </c>
      <c r="D47" s="105">
        <v>3690</v>
      </c>
      <c r="E47" s="105">
        <v>7240</v>
      </c>
      <c r="F47" s="105">
        <v>6640</v>
      </c>
      <c r="G47" s="105">
        <v>6740</v>
      </c>
      <c r="H47" s="105">
        <v>12730</v>
      </c>
      <c r="I47" s="105">
        <v>4920</v>
      </c>
      <c r="J47" s="105"/>
      <c r="K47" s="105">
        <v>2710</v>
      </c>
      <c r="L47" s="105">
        <v>2890</v>
      </c>
      <c r="M47" s="105">
        <v>5230</v>
      </c>
      <c r="N47" s="105">
        <v>10840</v>
      </c>
      <c r="O47" s="105">
        <v>4440</v>
      </c>
      <c r="P47" s="105">
        <f>K47+O47</f>
        <v>7150</v>
      </c>
      <c r="Q47" s="105"/>
      <c r="R47" s="105">
        <v>2710</v>
      </c>
      <c r="S47" s="105">
        <v>2890</v>
      </c>
      <c r="T47" s="105">
        <v>4630</v>
      </c>
      <c r="U47" s="105">
        <v>5250</v>
      </c>
      <c r="V47" s="105">
        <v>1800</v>
      </c>
      <c r="W47" s="105">
        <f>R47+V47</f>
        <v>4510</v>
      </c>
    </row>
    <row r="48" spans="1:23" x14ac:dyDescent="0.2">
      <c r="A48" s="83" t="s">
        <v>113</v>
      </c>
      <c r="B48" s="122">
        <v>2500</v>
      </c>
      <c r="C48" s="122">
        <f>23190/10.6</f>
        <v>2187.7358490566039</v>
      </c>
      <c r="D48" s="122">
        <f>22860/10.6</f>
        <v>2156.6037735849059</v>
      </c>
      <c r="E48" s="122">
        <f>19260/10.6</f>
        <v>1816.9811320754718</v>
      </c>
      <c r="F48" s="122">
        <f>19860/10.6</f>
        <v>1873.5849056603774</v>
      </c>
      <c r="G48" s="122">
        <f>19760/10.6</f>
        <v>1864.1509433962265</v>
      </c>
      <c r="H48" s="123">
        <f>13770/10.6</f>
        <v>1299.056603773585</v>
      </c>
      <c r="I48" s="122">
        <v>2036</v>
      </c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</row>
    <row r="49" spans="1:23" x14ac:dyDescent="0.2">
      <c r="A49" s="37" t="s">
        <v>81</v>
      </c>
      <c r="B49" s="38"/>
      <c r="C49" s="38"/>
      <c r="D49" s="38"/>
      <c r="E49" s="38"/>
      <c r="F49" s="38"/>
      <c r="G49" s="38"/>
      <c r="H49" s="38"/>
      <c r="I49" s="38"/>
      <c r="J49" s="38">
        <v>15000</v>
      </c>
      <c r="K49" s="38">
        <v>12290</v>
      </c>
      <c r="L49" s="38">
        <v>12110</v>
      </c>
      <c r="M49" s="38">
        <v>9770</v>
      </c>
      <c r="N49" s="38">
        <v>4160</v>
      </c>
      <c r="O49" s="38">
        <v>10560</v>
      </c>
      <c r="P49" s="38">
        <f>J49-P47</f>
        <v>7850</v>
      </c>
      <c r="Q49" s="38">
        <v>5500</v>
      </c>
      <c r="R49" s="38">
        <v>2790</v>
      </c>
      <c r="S49" s="38">
        <v>2610</v>
      </c>
      <c r="T49" s="38">
        <v>870</v>
      </c>
      <c r="U49" s="38">
        <v>250</v>
      </c>
      <c r="V49" s="38">
        <v>3700</v>
      </c>
      <c r="W49" s="38">
        <f>Q49-W47</f>
        <v>990</v>
      </c>
    </row>
    <row r="50" spans="1:23" x14ac:dyDescent="0.2">
      <c r="A50" s="37" t="s">
        <v>44</v>
      </c>
      <c r="B50" s="38">
        <v>4000</v>
      </c>
      <c r="C50" s="38">
        <f>B50</f>
        <v>4000</v>
      </c>
      <c r="D50" s="38">
        <f t="shared" ref="D50:I50" si="25">C50</f>
        <v>4000</v>
      </c>
      <c r="E50" s="38">
        <f t="shared" si="25"/>
        <v>4000</v>
      </c>
      <c r="F50" s="38">
        <f t="shared" si="25"/>
        <v>4000</v>
      </c>
      <c r="G50" s="38">
        <f t="shared" si="25"/>
        <v>4000</v>
      </c>
      <c r="H50" s="38">
        <f t="shared" si="25"/>
        <v>4000</v>
      </c>
      <c r="I50" s="38">
        <f t="shared" si="25"/>
        <v>4000</v>
      </c>
      <c r="J50" s="38">
        <v>3000</v>
      </c>
      <c r="K50" s="38">
        <v>3000</v>
      </c>
      <c r="L50" s="38">
        <v>3000</v>
      </c>
      <c r="M50" s="38">
        <v>3000</v>
      </c>
      <c r="N50" s="38">
        <v>3000</v>
      </c>
      <c r="O50" s="38">
        <v>3000</v>
      </c>
      <c r="P50" s="38">
        <v>3000</v>
      </c>
      <c r="Q50" s="38">
        <v>3000</v>
      </c>
      <c r="R50" s="38">
        <v>3000</v>
      </c>
      <c r="S50" s="38">
        <v>3000</v>
      </c>
      <c r="T50" s="38">
        <v>3000</v>
      </c>
      <c r="U50" s="38">
        <v>3000</v>
      </c>
      <c r="V50" s="38">
        <v>3000</v>
      </c>
      <c r="W50" s="38">
        <v>3000</v>
      </c>
    </row>
    <row r="51" spans="1:23" x14ac:dyDescent="0.2">
      <c r="A51" s="37" t="s">
        <v>18</v>
      </c>
      <c r="B51" s="38">
        <f>10.6*B21+B50</f>
        <v>30500</v>
      </c>
      <c r="C51" s="38">
        <v>27190</v>
      </c>
      <c r="D51" s="38">
        <f>10*ROUND((10.6*(D48)+D50)/10,0)</f>
        <v>26860</v>
      </c>
      <c r="E51" s="38">
        <f>10*ROUND((10.6*(E48)+E50)/10,0)</f>
        <v>23260</v>
      </c>
      <c r="F51" s="38">
        <f>10*ROUND((10.6*(F48)+F50)/10,0)</f>
        <v>23860</v>
      </c>
      <c r="G51" s="38">
        <f t="shared" ref="G51:I51" si="26">10*ROUND((10.6*G48+G50)/10,0)</f>
        <v>23760</v>
      </c>
      <c r="H51" s="38">
        <f>10*ROUND((10.6*(H48)+H50)/10,0)</f>
        <v>17770</v>
      </c>
      <c r="I51" s="38">
        <f t="shared" si="26"/>
        <v>25580</v>
      </c>
      <c r="J51" s="38">
        <v>18000</v>
      </c>
      <c r="K51" s="38">
        <f>K49+K50</f>
        <v>15290</v>
      </c>
      <c r="L51" s="38">
        <f t="shared" ref="L51:O51" si="27">L49+L50</f>
        <v>15110</v>
      </c>
      <c r="M51" s="38">
        <f t="shared" si="27"/>
        <v>12770</v>
      </c>
      <c r="N51" s="38">
        <f t="shared" si="27"/>
        <v>7160</v>
      </c>
      <c r="O51" s="38">
        <f t="shared" si="27"/>
        <v>13560</v>
      </c>
      <c r="P51" s="38">
        <f t="shared" ref="P51" si="28">P49+P50</f>
        <v>10850</v>
      </c>
      <c r="Q51" s="38">
        <v>8500</v>
      </c>
      <c r="R51" s="38">
        <f>R49+R50</f>
        <v>5790</v>
      </c>
      <c r="S51" s="38">
        <f t="shared" ref="S51:V51" si="29">S49+S50</f>
        <v>5610</v>
      </c>
      <c r="T51" s="38">
        <f t="shared" si="29"/>
        <v>3870</v>
      </c>
      <c r="U51" s="38">
        <f t="shared" si="29"/>
        <v>3250</v>
      </c>
      <c r="V51" s="38">
        <f t="shared" si="29"/>
        <v>6700</v>
      </c>
      <c r="W51" s="38">
        <f t="shared" ref="W51" si="30">W49+W50</f>
        <v>3990</v>
      </c>
    </row>
    <row r="52" spans="1:23" x14ac:dyDescent="0.2">
      <c r="A52" s="37" t="s">
        <v>41</v>
      </c>
      <c r="B52" s="39">
        <f>10*ROUND((100*B21*$B$6+B50*$B$8)/1000,0)</f>
        <v>5100</v>
      </c>
      <c r="C52" s="39">
        <f>10*ROUND((100*(C48)*$B$6+C50*$B$8)/1000,0)</f>
        <v>4660</v>
      </c>
      <c r="D52" s="39">
        <f t="shared" ref="D52:I52" si="31">10*ROUND((100*D48*$B$6+D50*$B$8)/1000,0)</f>
        <v>4620</v>
      </c>
      <c r="E52" s="39">
        <f>10*ROUND((100*E48*$B$6+E50*$B$8)/1000,0)</f>
        <v>4140</v>
      </c>
      <c r="F52" s="39">
        <f>10*ROUND((100*19860/10.6*$B$6+F50*$B$8)/1000,0)</f>
        <v>4220</v>
      </c>
      <c r="G52" s="39">
        <f t="shared" si="31"/>
        <v>4210</v>
      </c>
      <c r="H52" s="39">
        <f t="shared" si="31"/>
        <v>3420</v>
      </c>
      <c r="I52" s="39">
        <f t="shared" si="31"/>
        <v>4450</v>
      </c>
      <c r="J52" s="39">
        <v>3000</v>
      </c>
      <c r="K52" s="39">
        <f>10*ROUND((K49*$B$7+K50*$B$8)/1000,0)</f>
        <v>2670</v>
      </c>
      <c r="L52" s="39">
        <f t="shared" ref="L52:V52" si="32">10*ROUND((L49*$B$7+L50*$B$8)/1000,0)</f>
        <v>2650</v>
      </c>
      <c r="M52" s="39">
        <f t="shared" si="32"/>
        <v>2370</v>
      </c>
      <c r="N52" s="39">
        <f t="shared" si="32"/>
        <v>1700</v>
      </c>
      <c r="O52" s="39">
        <f t="shared" si="32"/>
        <v>2470</v>
      </c>
      <c r="P52" s="39">
        <f t="shared" ref="P52" si="33">10*ROUND((P49*$B$7+P50*$B$8)/1000,0)</f>
        <v>2140</v>
      </c>
      <c r="Q52" s="39">
        <v>1860</v>
      </c>
      <c r="R52" s="39">
        <f t="shared" si="32"/>
        <v>1530</v>
      </c>
      <c r="S52" s="39">
        <f t="shared" si="32"/>
        <v>1510</v>
      </c>
      <c r="T52" s="39">
        <f t="shared" si="32"/>
        <v>1300</v>
      </c>
      <c r="U52" s="39">
        <f t="shared" si="32"/>
        <v>1230</v>
      </c>
      <c r="V52" s="39">
        <f t="shared" si="32"/>
        <v>1640</v>
      </c>
      <c r="W52" s="39">
        <f t="shared" ref="W52" si="34">10*ROUND((W49*$B$7+W50*$B$8)/1000,0)</f>
        <v>1320</v>
      </c>
    </row>
    <row r="53" spans="1:23" x14ac:dyDescent="0.2">
      <c r="A53" s="34" t="s">
        <v>42</v>
      </c>
      <c r="B53" s="32">
        <v>200</v>
      </c>
      <c r="C53" s="32">
        <f>10*ROUND(($B$53+$B$10*C31/100)/10,0)</f>
        <v>240</v>
      </c>
      <c r="D53" s="32">
        <f t="shared" ref="D53:I53" si="35">10*ROUND(($B$53+$B$10*D31/100)/10,0)</f>
        <v>250</v>
      </c>
      <c r="E53" s="32">
        <f t="shared" si="35"/>
        <v>270</v>
      </c>
      <c r="F53" s="32">
        <f t="shared" si="35"/>
        <v>270</v>
      </c>
      <c r="G53" s="32">
        <f t="shared" si="35"/>
        <v>270</v>
      </c>
      <c r="H53" s="32">
        <f t="shared" si="35"/>
        <v>330</v>
      </c>
      <c r="I53" s="32">
        <f t="shared" si="35"/>
        <v>250</v>
      </c>
      <c r="J53" s="32">
        <v>150</v>
      </c>
      <c r="K53" s="32">
        <f>10*ROUND(($J$53+$B$10*K31/100)/10,0)</f>
        <v>190</v>
      </c>
      <c r="L53" s="32">
        <f t="shared" ref="L53:O53" si="36">10*ROUND(($J$53+$B$10*L31/100)/10,0)</f>
        <v>200</v>
      </c>
      <c r="M53" s="32">
        <f t="shared" si="36"/>
        <v>220</v>
      </c>
      <c r="N53" s="32">
        <f t="shared" si="36"/>
        <v>280</v>
      </c>
      <c r="O53" s="32">
        <f t="shared" si="36"/>
        <v>200</v>
      </c>
      <c r="P53" s="32">
        <f t="shared" ref="P53" si="37">10*ROUND(($J$53+$B$10*P31/100)/10,0)</f>
        <v>240</v>
      </c>
      <c r="Q53" s="32">
        <v>150</v>
      </c>
      <c r="R53" s="32">
        <f t="shared" ref="R53:W53" si="38">10*ROUND(($Q$53+$B$10*R31/100)/10,0)</f>
        <v>190</v>
      </c>
      <c r="S53" s="32">
        <f t="shared" si="38"/>
        <v>200</v>
      </c>
      <c r="T53" s="32">
        <f t="shared" si="38"/>
        <v>220</v>
      </c>
      <c r="U53" s="32">
        <f t="shared" si="38"/>
        <v>230</v>
      </c>
      <c r="V53" s="32">
        <f t="shared" si="38"/>
        <v>180</v>
      </c>
      <c r="W53" s="32">
        <f t="shared" si="38"/>
        <v>220</v>
      </c>
    </row>
    <row r="54" spans="1:23" x14ac:dyDescent="0.2">
      <c r="A54" s="40" t="s">
        <v>43</v>
      </c>
      <c r="B54" s="41">
        <f>B52+B53</f>
        <v>5300</v>
      </c>
      <c r="C54" s="41">
        <f>C52+C53</f>
        <v>4900</v>
      </c>
      <c r="D54" s="41">
        <f t="shared" ref="D54:I54" si="39">D52+D53</f>
        <v>4870</v>
      </c>
      <c r="E54" s="41">
        <f t="shared" si="39"/>
        <v>4410</v>
      </c>
      <c r="F54" s="41">
        <f t="shared" si="39"/>
        <v>4490</v>
      </c>
      <c r="G54" s="41">
        <f t="shared" si="39"/>
        <v>4480</v>
      </c>
      <c r="H54" s="41">
        <f t="shared" si="39"/>
        <v>3750</v>
      </c>
      <c r="I54" s="41">
        <f t="shared" si="39"/>
        <v>4700</v>
      </c>
      <c r="J54" s="41">
        <f>J52+J53</f>
        <v>3150</v>
      </c>
      <c r="K54" s="41">
        <f>K52+K53</f>
        <v>2860</v>
      </c>
      <c r="L54" s="41">
        <f t="shared" ref="L54:O54" si="40">L52+L53</f>
        <v>2850</v>
      </c>
      <c r="M54" s="41">
        <f t="shared" si="40"/>
        <v>2590</v>
      </c>
      <c r="N54" s="41">
        <f t="shared" si="40"/>
        <v>1980</v>
      </c>
      <c r="O54" s="41">
        <f t="shared" si="40"/>
        <v>2670</v>
      </c>
      <c r="P54" s="41">
        <f t="shared" ref="P54" si="41">P52+P53</f>
        <v>2380</v>
      </c>
      <c r="Q54" s="41">
        <f>Q52+Q53</f>
        <v>2010</v>
      </c>
      <c r="R54" s="41">
        <f t="shared" ref="R54:V54" si="42">R52+R53</f>
        <v>1720</v>
      </c>
      <c r="S54" s="41">
        <f t="shared" si="42"/>
        <v>1710</v>
      </c>
      <c r="T54" s="41">
        <f t="shared" si="42"/>
        <v>1520</v>
      </c>
      <c r="U54" s="41">
        <f t="shared" si="42"/>
        <v>1460</v>
      </c>
      <c r="V54" s="41">
        <f t="shared" si="42"/>
        <v>1820</v>
      </c>
      <c r="W54" s="41">
        <f t="shared" ref="W54" si="43">W52+W53</f>
        <v>1540</v>
      </c>
    </row>
    <row r="55" spans="1:23" x14ac:dyDescent="0.2">
      <c r="A55" s="29" t="s">
        <v>2</v>
      </c>
      <c r="B55" s="42"/>
      <c r="C55" s="42">
        <f>-C43-20*(C54-$B$54)</f>
        <v>4800</v>
      </c>
      <c r="D55" s="42">
        <f t="shared" ref="D55:I55" si="44">-D43-20*(D54-$B$54)</f>
        <v>5000</v>
      </c>
      <c r="E55" s="42">
        <f t="shared" si="44"/>
        <v>12600</v>
      </c>
      <c r="F55" s="42">
        <f t="shared" si="44"/>
        <v>11000</v>
      </c>
      <c r="G55" s="42">
        <f t="shared" si="44"/>
        <v>11200</v>
      </c>
      <c r="H55" s="42">
        <f t="shared" si="44"/>
        <v>21000</v>
      </c>
      <c r="I55" s="42">
        <f t="shared" si="44"/>
        <v>8000</v>
      </c>
      <c r="J55" s="42"/>
      <c r="K55" s="42">
        <f>-K43-20*(K54-$J$54)</f>
        <v>2600</v>
      </c>
      <c r="L55" s="42">
        <f t="shared" ref="L55:O55" si="45">-L43-20*(L54-$J$54)</f>
        <v>2000</v>
      </c>
      <c r="M55" s="42">
        <f t="shared" si="45"/>
        <v>6000</v>
      </c>
      <c r="N55" s="42">
        <f t="shared" si="45"/>
        <v>13400</v>
      </c>
      <c r="O55" s="42">
        <f t="shared" si="45"/>
        <v>5600</v>
      </c>
      <c r="P55" s="42">
        <f t="shared" ref="P55" si="46">-P43-20*(P54-$J$54)</f>
        <v>8200</v>
      </c>
      <c r="Q55" s="42"/>
      <c r="R55" s="42">
        <f>-R43-20*(R54-$Q$54)</f>
        <v>-2200</v>
      </c>
      <c r="S55" s="42">
        <f t="shared" ref="S55:V55" si="47">-S43-20*(S54-$Q$54)</f>
        <v>-4000</v>
      </c>
      <c r="T55" s="42">
        <f t="shared" si="47"/>
        <v>-3200</v>
      </c>
      <c r="U55" s="42">
        <f t="shared" si="47"/>
        <v>-4000</v>
      </c>
      <c r="V55" s="42">
        <f t="shared" si="47"/>
        <v>-2200</v>
      </c>
      <c r="W55" s="42">
        <f t="shared" ref="W55" si="48">-W43-20*(W54-$Q$54)</f>
        <v>-4600</v>
      </c>
    </row>
    <row r="56" spans="1:23" x14ac:dyDescent="0.2">
      <c r="A56" s="29" t="s">
        <v>16</v>
      </c>
      <c r="B56" s="43"/>
      <c r="C56" s="44">
        <f>IF((($B$54-C54)=0),IF((C43&lt;=0),"sofort","nie"),IF((C43/($B$54-C54)&lt;=0),IF((C43&lt;=0),"sofort","nie"),C43/($B$54-C54)))</f>
        <v>8</v>
      </c>
      <c r="D56" s="44">
        <f t="shared" ref="D56:I56" si="49">IF((($B$54-D54)=0),IF((D43&lt;=0),"sofort","nie"),IF((D43/($B$54-D54)&lt;=0),IF((D43&lt;=0),"sofort","nie"),D43/($B$54-D54)))</f>
        <v>8.3720930232558146</v>
      </c>
      <c r="E56" s="44">
        <f t="shared" si="49"/>
        <v>5.8426966292134832</v>
      </c>
      <c r="F56" s="44">
        <f t="shared" si="49"/>
        <v>6.4197530864197532</v>
      </c>
      <c r="G56" s="44">
        <f t="shared" si="49"/>
        <v>6.3414634146341466</v>
      </c>
      <c r="H56" s="44">
        <f t="shared" si="49"/>
        <v>6.4516129032258061</v>
      </c>
      <c r="I56" s="44">
        <f t="shared" si="49"/>
        <v>6.666666666666667</v>
      </c>
      <c r="J56" s="44"/>
      <c r="K56" s="44">
        <f>IF((($J$54-K54)=0),IF((K43&lt;=0),"sofort","nie"),IF((K43/($J$54-K54)&lt;=0),IF((K43&lt;=0),"sofort","nie"),K43/($J$54-K54)))</f>
        <v>11.03448275862069</v>
      </c>
      <c r="L56" s="44">
        <f t="shared" ref="L56:O56" si="50">IF((($J$54-L54)=0),IF((L43&lt;=0),"sofort","nie"),IF((L43/($J$54-L54)&lt;=0),IF((L43&lt;=0),"sofort","nie"),L43/($J$54-L54)))</f>
        <v>13.333333333333334</v>
      </c>
      <c r="M56" s="44">
        <f t="shared" si="50"/>
        <v>9.2857142857142865</v>
      </c>
      <c r="N56" s="44">
        <f t="shared" si="50"/>
        <v>8.5470085470085468</v>
      </c>
      <c r="O56" s="44">
        <f t="shared" si="50"/>
        <v>8.3333333333333339</v>
      </c>
      <c r="P56" s="44">
        <f t="shared" ref="P56" si="51">IF((($J$54-P54)=0),IF((P43&lt;=0),"sofort","nie"),IF((P43/($J$54-P54)&lt;=0),IF((P43&lt;=0),"sofort","nie"),P43/($J$54-P54)))</f>
        <v>9.3506493506493502</v>
      </c>
      <c r="Q56" s="44"/>
      <c r="R56" s="44">
        <f>IF((($Q$54-R54)=0),IF((R43&lt;=0),"sofort","nie"),IF((R43/($Q$54-R54)&lt;=0),IF((R43&lt;=0),"sofort","nie"),R43/($Q$54-R54)))</f>
        <v>27.586206896551722</v>
      </c>
      <c r="S56" s="44">
        <f t="shared" ref="S56:V56" si="52">IF((($Q$54-S54)=0),IF((S43&lt;=0),"sofort","nie"),IF((S43/($Q$54-S54)&lt;=0),IF((S43&lt;=0),"sofort","nie"),S43/($Q$54-S54)))</f>
        <v>33.333333333333336</v>
      </c>
      <c r="T56" s="44">
        <f t="shared" si="52"/>
        <v>26.530612244897959</v>
      </c>
      <c r="U56" s="44">
        <f t="shared" si="52"/>
        <v>27.272727272727273</v>
      </c>
      <c r="V56" s="44">
        <f t="shared" si="52"/>
        <v>31.578947368421051</v>
      </c>
      <c r="W56" s="44">
        <f t="shared" ref="W56" si="53">IF((($Q$54-W54)=0),IF((W43&lt;=0),"sofort","nie"),IF((W43/($Q$54-W54)&lt;=0),IF((W43&lt;=0),"sofort","nie"),W43/($Q$54-W54)))</f>
        <v>29.787234042553191</v>
      </c>
    </row>
    <row r="57" spans="1:23" x14ac:dyDescent="0.2">
      <c r="A57" s="29" t="s">
        <v>17</v>
      </c>
      <c r="B57" s="45">
        <f>ROUND((10.6*B21*$I$6+B50*$I$8)/1000,1)</f>
        <v>10.5</v>
      </c>
      <c r="C57" s="45">
        <f>ROUND((C48*$I$6*10.6+C49*$I$7+C50*$I$8)/1000,1)</f>
        <v>9.4</v>
      </c>
      <c r="D57" s="45">
        <f t="shared" ref="D57:K57" si="54">ROUND((D48*$I$6*10.6+D49*$I$7+D50*$I$8)/1000,1)</f>
        <v>9.3000000000000007</v>
      </c>
      <c r="E57" s="45">
        <f t="shared" si="54"/>
        <v>8.1999999999999993</v>
      </c>
      <c r="F57" s="45">
        <f t="shared" si="54"/>
        <v>8.4</v>
      </c>
      <c r="G57" s="45">
        <f t="shared" si="54"/>
        <v>8.4</v>
      </c>
      <c r="H57" s="45">
        <f>ROUND(((H48+1)*$I$6*10.6+H49*$I$7+H50*$I$8)/1000,1)</f>
        <v>6.5</v>
      </c>
      <c r="I57" s="45">
        <f t="shared" si="54"/>
        <v>8.9</v>
      </c>
      <c r="J57" s="45">
        <v>5.3</v>
      </c>
      <c r="K57" s="45">
        <f t="shared" si="54"/>
        <v>4.5999999999999996</v>
      </c>
      <c r="L57" s="45">
        <f t="shared" ref="L57:V57" si="55">ROUND((L48*$I$6*10.6+L49*$I$7+L50*$I$8)/1000,1)</f>
        <v>4.5999999999999996</v>
      </c>
      <c r="M57" s="45">
        <f t="shared" si="55"/>
        <v>4</v>
      </c>
      <c r="N57" s="45">
        <f t="shared" si="55"/>
        <v>2.7</v>
      </c>
      <c r="O57" s="45">
        <f t="shared" si="55"/>
        <v>4.2</v>
      </c>
      <c r="P57" s="45">
        <f t="shared" ref="P57" si="56">ROUND((P48*$I$6*10.6+P49*$I$7+P50*$I$8)/1000,1)</f>
        <v>3.6</v>
      </c>
      <c r="Q57" s="45">
        <v>3</v>
      </c>
      <c r="R57" s="45">
        <f t="shared" si="55"/>
        <v>2.2999999999999998</v>
      </c>
      <c r="S57" s="45">
        <f t="shared" si="55"/>
        <v>2.2999999999999998</v>
      </c>
      <c r="T57" s="45">
        <f t="shared" si="55"/>
        <v>1.9</v>
      </c>
      <c r="U57" s="45">
        <f t="shared" si="55"/>
        <v>1.7</v>
      </c>
      <c r="V57" s="45">
        <f t="shared" si="55"/>
        <v>2.6</v>
      </c>
      <c r="W57" s="45">
        <f t="shared" ref="W57" si="57">ROUND((W48*$I$6*10.6+W49*$I$7+W50*$I$8)/1000,1)</f>
        <v>1.9</v>
      </c>
    </row>
    <row r="58" spans="1:23" x14ac:dyDescent="0.2">
      <c r="A58" s="29" t="s">
        <v>3</v>
      </c>
      <c r="B58" s="46">
        <v>0</v>
      </c>
      <c r="C58" s="121">
        <f>ROUND(100*($B$51-C51)/($B$51-$B$50),1)/100</f>
        <v>0.125</v>
      </c>
      <c r="D58" s="121">
        <f t="shared" ref="D58:I58" si="58">ROUND(100*($B$51-D51)/($B$51-$B$50),1)/100</f>
        <v>0.13699999999999998</v>
      </c>
      <c r="E58" s="121">
        <f t="shared" si="58"/>
        <v>0.27300000000000002</v>
      </c>
      <c r="F58" s="121">
        <f t="shared" si="58"/>
        <v>0.251</v>
      </c>
      <c r="G58" s="121">
        <f t="shared" si="58"/>
        <v>0.254</v>
      </c>
      <c r="H58" s="121">
        <f t="shared" si="58"/>
        <v>0.48</v>
      </c>
      <c r="I58" s="121">
        <f t="shared" si="58"/>
        <v>0.18600000000000003</v>
      </c>
      <c r="J58" s="46">
        <v>0</v>
      </c>
      <c r="K58" s="121">
        <f>ROUND(100*($J$51-K51)/($J$51-$J$50),1)/100</f>
        <v>0.18100000000000002</v>
      </c>
      <c r="L58" s="121">
        <f t="shared" ref="L58:O58" si="59">ROUND(100*($J$51-L51)/($J$51-$J$50),1)/100</f>
        <v>0.193</v>
      </c>
      <c r="M58" s="121">
        <f t="shared" si="59"/>
        <v>0.34899999999999998</v>
      </c>
      <c r="N58" s="121">
        <f t="shared" si="59"/>
        <v>0.72299999999999998</v>
      </c>
      <c r="O58" s="121">
        <f t="shared" si="59"/>
        <v>0.29600000000000004</v>
      </c>
      <c r="P58" s="121">
        <f t="shared" ref="P58" si="60">ROUND(100*($J$51-P51)/($J$51-$J$50),1)/100</f>
        <v>0.47700000000000004</v>
      </c>
      <c r="Q58" s="46">
        <v>0</v>
      </c>
      <c r="R58" s="121">
        <f t="shared" ref="R58:W58" si="61">ROUND(100*($Q$51-R51)/($Q$51-$J$50),1)/100</f>
        <v>0.49299999999999999</v>
      </c>
      <c r="S58" s="121">
        <f t="shared" si="61"/>
        <v>0.52500000000000002</v>
      </c>
      <c r="T58" s="121">
        <f t="shared" si="61"/>
        <v>0.84200000000000008</v>
      </c>
      <c r="U58" s="121">
        <f t="shared" si="61"/>
        <v>0.95499999999999996</v>
      </c>
      <c r="V58" s="121">
        <f t="shared" si="61"/>
        <v>0.32700000000000001</v>
      </c>
      <c r="W58" s="121">
        <f t="shared" si="61"/>
        <v>0.82</v>
      </c>
    </row>
    <row r="59" spans="1:23" x14ac:dyDescent="0.2">
      <c r="A59" s="29" t="s">
        <v>4</v>
      </c>
      <c r="B59" s="46">
        <v>0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46">
        <v>0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1">
        <v>0</v>
      </c>
      <c r="Q59" s="46">
        <v>0</v>
      </c>
      <c r="R59" s="121">
        <v>0</v>
      </c>
      <c r="S59" s="46">
        <v>0</v>
      </c>
      <c r="T59" s="121">
        <v>0</v>
      </c>
      <c r="U59" s="46">
        <v>0</v>
      </c>
      <c r="V59" s="121">
        <v>0</v>
      </c>
      <c r="W59" s="121">
        <v>0</v>
      </c>
    </row>
    <row r="60" spans="1:23" x14ac:dyDescent="0.2">
      <c r="A60" s="29" t="s">
        <v>144</v>
      </c>
      <c r="B60" s="46">
        <v>0</v>
      </c>
      <c r="C60" s="121">
        <f>ROUND(100*($B$51-C51)/$B$51,1)/100</f>
        <v>0.109</v>
      </c>
      <c r="D60" s="121">
        <f t="shared" ref="D60:I60" si="62">ROUND(100*($B$51-D51)/$B$51,1)/100</f>
        <v>0.11900000000000001</v>
      </c>
      <c r="E60" s="121">
        <f t="shared" si="62"/>
        <v>0.23699999999999999</v>
      </c>
      <c r="F60" s="121">
        <f t="shared" si="62"/>
        <v>0.218</v>
      </c>
      <c r="G60" s="121">
        <f t="shared" si="62"/>
        <v>0.221</v>
      </c>
      <c r="H60" s="121">
        <f t="shared" si="62"/>
        <v>0.41700000000000004</v>
      </c>
      <c r="I60" s="121">
        <f t="shared" si="62"/>
        <v>0.161</v>
      </c>
      <c r="J60" s="46">
        <v>0</v>
      </c>
      <c r="K60" s="121">
        <f>ROUND(100*($J$51-K51)/$J$51,1)/100</f>
        <v>0.151</v>
      </c>
      <c r="L60" s="121">
        <f t="shared" ref="L60:O60" si="63">ROUND(100*($J$51-L51)/$J$51,1)/100</f>
        <v>0.161</v>
      </c>
      <c r="M60" s="121">
        <f t="shared" si="63"/>
        <v>0.29100000000000004</v>
      </c>
      <c r="N60" s="121">
        <f t="shared" si="63"/>
        <v>0.60199999999999998</v>
      </c>
      <c r="O60" s="121">
        <f t="shared" si="63"/>
        <v>0.247</v>
      </c>
      <c r="P60" s="121">
        <f t="shared" ref="P60" si="64">ROUND(100*($J$51-P51)/$J$51,1)/100</f>
        <v>0.39700000000000002</v>
      </c>
      <c r="Q60" s="46">
        <v>0</v>
      </c>
      <c r="R60" s="121">
        <f>ROUND(100*($Q$51-R51)/$Q$51,1)/100</f>
        <v>0.31900000000000001</v>
      </c>
      <c r="S60" s="121">
        <f t="shared" ref="S60:V60" si="65">ROUND(100*($Q$51-S51)/$Q$51,1)/100</f>
        <v>0.34</v>
      </c>
      <c r="T60" s="121">
        <f t="shared" si="65"/>
        <v>0.54500000000000004</v>
      </c>
      <c r="U60" s="121">
        <f t="shared" si="65"/>
        <v>0.61799999999999999</v>
      </c>
      <c r="V60" s="121">
        <f t="shared" si="65"/>
        <v>0.21199999999999999</v>
      </c>
      <c r="W60" s="121">
        <f t="shared" ref="W60" si="66">ROUND(100*($Q$51-W51)/$Q$51,1)/100</f>
        <v>0.53100000000000003</v>
      </c>
    </row>
    <row r="61" spans="1:23" x14ac:dyDescent="0.2">
      <c r="A61" s="29" t="s">
        <v>185</v>
      </c>
      <c r="B61" s="139">
        <f>B51/B23</f>
        <v>254.16666666666666</v>
      </c>
      <c r="C61" s="139">
        <f t="shared" ref="C61:W61" si="67">C51/C23</f>
        <v>226.58333333333334</v>
      </c>
      <c r="D61" s="139">
        <f t="shared" si="67"/>
        <v>223.83333333333334</v>
      </c>
      <c r="E61" s="139">
        <f t="shared" si="67"/>
        <v>193.83333333333334</v>
      </c>
      <c r="F61" s="139">
        <f t="shared" si="67"/>
        <v>198.83333333333334</v>
      </c>
      <c r="G61" s="139">
        <f t="shared" si="67"/>
        <v>198</v>
      </c>
      <c r="H61" s="139">
        <f t="shared" si="67"/>
        <v>148.08333333333334</v>
      </c>
      <c r="I61" s="139">
        <f t="shared" si="67"/>
        <v>213.16666666666666</v>
      </c>
      <c r="J61" s="139">
        <f t="shared" si="67"/>
        <v>128.57142857142858</v>
      </c>
      <c r="K61" s="139">
        <f t="shared" si="67"/>
        <v>109.21428571428571</v>
      </c>
      <c r="L61" s="139">
        <f t="shared" si="67"/>
        <v>107.92857142857143</v>
      </c>
      <c r="M61" s="139">
        <f t="shared" si="67"/>
        <v>91.214285714285708</v>
      </c>
      <c r="N61" s="139">
        <f t="shared" si="67"/>
        <v>51.142857142857146</v>
      </c>
      <c r="O61" s="139">
        <f t="shared" si="67"/>
        <v>96.857142857142861</v>
      </c>
      <c r="P61" s="139">
        <f t="shared" si="67"/>
        <v>77.5</v>
      </c>
      <c r="Q61" s="139">
        <f t="shared" si="67"/>
        <v>70.833333333333329</v>
      </c>
      <c r="R61" s="139">
        <f t="shared" si="67"/>
        <v>48.25</v>
      </c>
      <c r="S61" s="139">
        <f t="shared" si="67"/>
        <v>46.75</v>
      </c>
      <c r="T61" s="139">
        <f t="shared" si="67"/>
        <v>32.25</v>
      </c>
      <c r="U61" s="139">
        <f t="shared" si="67"/>
        <v>27.083333333333332</v>
      </c>
      <c r="V61" s="139">
        <f t="shared" si="67"/>
        <v>55.833333333333336</v>
      </c>
      <c r="W61" s="139">
        <f t="shared" si="67"/>
        <v>33.25</v>
      </c>
    </row>
    <row r="62" spans="1:23" x14ac:dyDescent="0.2">
      <c r="D62" s="6"/>
      <c r="E62" s="6"/>
      <c r="I62" s="3"/>
    </row>
    <row r="63" spans="1:23" x14ac:dyDescent="0.2">
      <c r="B63" s="58"/>
      <c r="C63" s="49" t="s">
        <v>46</v>
      </c>
      <c r="D63" s="49"/>
      <c r="E63" s="49"/>
      <c r="F63" s="59"/>
      <c r="G63" s="60" t="s">
        <v>47</v>
      </c>
      <c r="H63" s="49"/>
      <c r="I63" s="50"/>
    </row>
    <row r="64" spans="1:23" x14ac:dyDescent="0.2">
      <c r="B64" s="61"/>
      <c r="C64" t="s">
        <v>48</v>
      </c>
      <c r="F64" s="62"/>
      <c r="G64" s="52" t="s">
        <v>71</v>
      </c>
      <c r="I64" s="53"/>
    </row>
    <row r="65" spans="2:9" x14ac:dyDescent="0.2">
      <c r="B65" s="63"/>
      <c r="C65" t="s">
        <v>50</v>
      </c>
      <c r="F65" s="64"/>
      <c r="G65" t="s">
        <v>51</v>
      </c>
      <c r="I65" s="53"/>
    </row>
    <row r="66" spans="2:9" x14ac:dyDescent="0.2">
      <c r="B66" s="65"/>
      <c r="C66" s="56" t="s">
        <v>52</v>
      </c>
      <c r="D66" s="56"/>
      <c r="E66" s="56"/>
      <c r="F66" s="56"/>
      <c r="G66" s="56"/>
      <c r="H66" s="56"/>
      <c r="I66" s="57"/>
    </row>
    <row r="68" spans="2:9" x14ac:dyDescent="0.2">
      <c r="B68" s="47"/>
      <c r="C68" s="48" t="s">
        <v>55</v>
      </c>
      <c r="D68" s="49"/>
      <c r="E68" s="49"/>
      <c r="F68" s="50"/>
    </row>
    <row r="69" spans="2:9" x14ac:dyDescent="0.2">
      <c r="B69" s="51" t="s">
        <v>56</v>
      </c>
      <c r="C69" s="52" t="s">
        <v>58</v>
      </c>
      <c r="F69" s="53"/>
    </row>
    <row r="70" spans="2:9" x14ac:dyDescent="0.2">
      <c r="B70" s="54" t="s">
        <v>57</v>
      </c>
      <c r="C70" s="55" t="s">
        <v>59</v>
      </c>
      <c r="D70" s="56"/>
      <c r="E70" s="56"/>
      <c r="F70" s="57"/>
    </row>
    <row r="72" spans="2:9" x14ac:dyDescent="0.2">
      <c r="B72" t="s">
        <v>179</v>
      </c>
    </row>
    <row r="74" spans="2:9" x14ac:dyDescent="0.2">
      <c r="B74" s="140" t="s">
        <v>180</v>
      </c>
      <c r="C74" s="141" t="s">
        <v>180</v>
      </c>
      <c r="D74" s="142" t="s">
        <v>181</v>
      </c>
      <c r="E74" s="143" t="s">
        <v>181</v>
      </c>
      <c r="F74" s="144" t="s">
        <v>182</v>
      </c>
    </row>
    <row r="75" spans="2:9" x14ac:dyDescent="0.2">
      <c r="B75" s="145"/>
      <c r="C75" s="141" t="s">
        <v>183</v>
      </c>
      <c r="D75" s="142"/>
      <c r="E75" s="143" t="s">
        <v>184</v>
      </c>
      <c r="F75" s="137"/>
    </row>
  </sheetData>
  <sheetProtection algorithmName="SHA-512" hashValue="0IKsb8KF8VaWsvE8qqJMf5n6hMsnPXv9zfh8pPoZO8xaTSFJ7ebQT8jE5KvPxLyHpKOMFWeEu8CCCHSM7xCnhQ==" saltValue="ewm2664ZPcI40sAxFs5zqw==" spinCount="100000" sheet="1" objects="1" scenarios="1" selectLockedCells="1" selectUnlockedCells="1"/>
  <phoneticPr fontId="0" type="noConversion"/>
  <conditionalFormatting sqref="B56">
    <cfRule type="expression" dxfId="63" priority="161" stopIfTrue="1">
      <formula>OR(IF(B$43&gt;0,B$56&lt;=10,B$56&gt;30),B$56&lt;0)</formula>
    </cfRule>
    <cfRule type="expression" dxfId="62" priority="162" stopIfTrue="1">
      <formula>B$43&lt;0</formula>
    </cfRule>
  </conditionalFormatting>
  <conditionalFormatting sqref="B57 J57 Q57">
    <cfRule type="cellIs" dxfId="61" priority="45" stopIfTrue="1" operator="lessThanOrEqual">
      <formula>2</formula>
    </cfRule>
    <cfRule type="cellIs" dxfId="60" priority="42" stopIfTrue="1" operator="greaterThan">
      <formula>$B$57</formula>
    </cfRule>
  </conditionalFormatting>
  <conditionalFormatting sqref="B59:B60 J59:J60 Q59:Q60">
    <cfRule type="cellIs" dxfId="59" priority="40" stopIfTrue="1" operator="greaterThanOrEqual">
      <formula>0.5</formula>
    </cfRule>
  </conditionalFormatting>
  <conditionalFormatting sqref="B43:W43">
    <cfRule type="cellIs" dxfId="58" priority="36" stopIfTrue="1" operator="lessThanOrEqual">
      <formula>5000</formula>
    </cfRule>
    <cfRule type="cellIs" dxfId="57" priority="35" operator="lessThan">
      <formula>0</formula>
    </cfRule>
  </conditionalFormatting>
  <conditionalFormatting sqref="B54:W54">
    <cfRule type="cellIs" dxfId="56" priority="54" stopIfTrue="1" operator="lessThanOrEqual">
      <formula>1500</formula>
    </cfRule>
    <cfRule type="cellIs" dxfId="55" priority="37" operator="greaterThan">
      <formula>$B$54</formula>
    </cfRule>
  </conditionalFormatting>
  <conditionalFormatting sqref="B55:W55">
    <cfRule type="cellIs" dxfId="54" priority="27" stopIfTrue="1" operator="greaterThanOrEqual">
      <formula>5000</formula>
    </cfRule>
  </conditionalFormatting>
  <conditionalFormatting sqref="B58:W58">
    <cfRule type="cellIs" dxfId="53" priority="22" stopIfTrue="1" operator="greaterThanOrEqual">
      <formula>0.5</formula>
    </cfRule>
  </conditionalFormatting>
  <conditionalFormatting sqref="B61:W61">
    <cfRule type="cellIs" dxfId="52" priority="1" operator="greaterThan">
      <formula>220</formula>
    </cfRule>
    <cfRule type="cellIs" dxfId="51" priority="2" operator="between">
      <formula>180</formula>
      <formula>220</formula>
    </cfRule>
    <cfRule type="cellIs" dxfId="50" priority="3" operator="between">
      <formula>100</formula>
      <formula>180</formula>
    </cfRule>
    <cfRule type="cellIs" dxfId="49" priority="4" operator="between">
      <formula>80</formula>
      <formula>100</formula>
    </cfRule>
    <cfRule type="cellIs" dxfId="48" priority="5" operator="lessThan">
      <formula>80</formula>
    </cfRule>
  </conditionalFormatting>
  <conditionalFormatting sqref="C56:I56">
    <cfRule type="expression" dxfId="47" priority="26" stopIfTrue="1">
      <formula>C$43&lt;0</formula>
    </cfRule>
    <cfRule type="expression" dxfId="46" priority="25">
      <formula>OR(IF(C$42&gt;0,C$56&lt;=10,C$56&gt;30),C$56="sofort")</formula>
    </cfRule>
  </conditionalFormatting>
  <conditionalFormatting sqref="C57:I57">
    <cfRule type="cellIs" dxfId="45" priority="24" operator="greaterThan">
      <formula>$B$57</formula>
    </cfRule>
    <cfRule type="cellIs" dxfId="44" priority="23" operator="lessThanOrEqual">
      <formula>2</formula>
    </cfRule>
  </conditionalFormatting>
  <conditionalFormatting sqref="C59:I59">
    <cfRule type="cellIs" dxfId="43" priority="21" stopIfTrue="1" operator="greaterThanOrEqual">
      <formula>0.5</formula>
    </cfRule>
  </conditionalFormatting>
  <conditionalFormatting sqref="C60:I60">
    <cfRule type="cellIs" dxfId="42" priority="20" stopIfTrue="1" operator="greaterThanOrEqual">
      <formula>0.5</formula>
    </cfRule>
  </conditionalFormatting>
  <conditionalFormatting sqref="J56 Q56">
    <cfRule type="expression" dxfId="41" priority="163">
      <formula>OR(IF(J$43&gt;0,J$56&lt;=10,J$56&gt;30),J$58="sofort")</formula>
    </cfRule>
    <cfRule type="expression" dxfId="40" priority="164" stopIfTrue="1">
      <formula>J$43&lt;0</formula>
    </cfRule>
  </conditionalFormatting>
  <conditionalFormatting sqref="K56:P56">
    <cfRule type="expression" dxfId="39" priority="18">
      <formula>OR(IF(K$42&gt;0,K$56&lt;=10,K$56&gt;30),K$56="sofort")</formula>
    </cfRule>
    <cfRule type="expression" dxfId="38" priority="19" stopIfTrue="1">
      <formula>K$43&lt;0</formula>
    </cfRule>
  </conditionalFormatting>
  <conditionalFormatting sqref="K57:P57">
    <cfRule type="cellIs" dxfId="37" priority="15" operator="greaterThan">
      <formula>$B$57</formula>
    </cfRule>
    <cfRule type="cellIs" dxfId="36" priority="14" operator="lessThanOrEqual">
      <formula>2</formula>
    </cfRule>
  </conditionalFormatting>
  <conditionalFormatting sqref="K59:P59">
    <cfRule type="cellIs" dxfId="35" priority="13" stopIfTrue="1" operator="greaterThanOrEqual">
      <formula>0.5</formula>
    </cfRule>
  </conditionalFormatting>
  <conditionalFormatting sqref="K60:P60">
    <cfRule type="cellIs" dxfId="34" priority="12" stopIfTrue="1" operator="greaterThanOrEqual">
      <formula>0.5</formula>
    </cfRule>
  </conditionalFormatting>
  <conditionalFormatting sqref="R56:W56">
    <cfRule type="expression" dxfId="33" priority="11" stopIfTrue="1">
      <formula>R$43&lt;0</formula>
    </cfRule>
    <cfRule type="expression" dxfId="32" priority="10">
      <formula>OR(IF(R$42&gt;0,R$56&lt;=10,R$56&gt;30),R$56="sofort")</formula>
    </cfRule>
  </conditionalFormatting>
  <conditionalFormatting sqref="R57:W57">
    <cfRule type="cellIs" dxfId="31" priority="9" operator="greaterThan">
      <formula>$B$57</formula>
    </cfRule>
    <cfRule type="cellIs" dxfId="30" priority="8" operator="lessThanOrEqual">
      <formula>2</formula>
    </cfRule>
  </conditionalFormatting>
  <conditionalFormatting sqref="R59:W59">
    <cfRule type="cellIs" dxfId="29" priority="7" stopIfTrue="1" operator="greaterThanOrEqual">
      <formula>0.5</formula>
    </cfRule>
  </conditionalFormatting>
  <conditionalFormatting sqref="R60:W60">
    <cfRule type="cellIs" dxfId="28" priority="6" stopIfTrue="1" operator="greaterThanOrEqual">
      <formula>0.5</formula>
    </cfRule>
  </conditionalFormatting>
  <pageMargins left="0.39370078740157483" right="0.39370078740157483" top="0.98425196850393704" bottom="0.98425196850393704" header="0.51181102362204722" footer="0.51181102362204722"/>
  <pageSetup paperSize="9" scale="50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N94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91</v>
      </c>
      <c r="B1" s="2" t="s">
        <v>92</v>
      </c>
    </row>
    <row r="2" spans="1:38" s="2" customFormat="1" ht="23.25" x14ac:dyDescent="0.35">
      <c r="A2" s="7"/>
      <c r="B2" s="66" t="s">
        <v>173</v>
      </c>
    </row>
    <row r="3" spans="1:38" s="2" customFormat="1" ht="23.25" x14ac:dyDescent="0.35">
      <c r="A3" s="7"/>
      <c r="B3" s="52" t="s">
        <v>169</v>
      </c>
      <c r="C3"/>
      <c r="D3"/>
      <c r="E3"/>
      <c r="F3"/>
    </row>
    <row r="4" spans="1:38" s="2" customFormat="1" ht="24.95" customHeight="1" x14ac:dyDescent="0.35">
      <c r="A4" s="7"/>
      <c r="B4" s="98" t="s">
        <v>172</v>
      </c>
      <c r="C4" s="99"/>
      <c r="D4" s="99"/>
      <c r="E4" s="99"/>
      <c r="F4" s="99"/>
      <c r="M4" s="104"/>
      <c r="N4" s="104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5" t="s">
        <v>34</v>
      </c>
      <c r="I5" s="72"/>
      <c r="J5" s="11"/>
      <c r="K5" s="11"/>
      <c r="L5" s="11"/>
      <c r="M5" s="11"/>
      <c r="N5" s="12"/>
      <c r="O5" s="82"/>
      <c r="P5" s="82"/>
    </row>
    <row r="6" spans="1:38" x14ac:dyDescent="0.2">
      <c r="A6" s="18" t="s">
        <v>53</v>
      </c>
      <c r="B6" s="68">
        <v>2500</v>
      </c>
      <c r="C6" s="69" t="s">
        <v>54</v>
      </c>
      <c r="D6" s="70" t="str">
        <f>IF(OR((B6&lt;0),(B6&gt;100000)),"Wert prüfen","gültiger Wert")</f>
        <v>gültiger Wert</v>
      </c>
      <c r="E6" s="9"/>
      <c r="F6" s="9"/>
      <c r="G6" s="9"/>
      <c r="H6" s="77">
        <v>2500</v>
      </c>
      <c r="I6" s="72" t="s">
        <v>54</v>
      </c>
      <c r="J6" s="9"/>
      <c r="K6" s="9"/>
      <c r="L6" s="9"/>
      <c r="M6" s="9"/>
      <c r="N6" s="14"/>
      <c r="O6" s="82"/>
      <c r="P6" s="82"/>
    </row>
    <row r="7" spans="1:38" x14ac:dyDescent="0.2">
      <c r="A7" s="18" t="s">
        <v>72</v>
      </c>
      <c r="B7" s="68">
        <v>0</v>
      </c>
      <c r="C7" s="69" t="s">
        <v>68</v>
      </c>
      <c r="D7" s="70" t="str">
        <f>IF(OR((B7&lt;0),(B7&gt;1000000)),"Wert prüfen","gültiger Wert")</f>
        <v>gültiger Wert</v>
      </c>
      <c r="E7" s="9"/>
      <c r="F7" s="9"/>
      <c r="G7" s="9"/>
      <c r="H7" s="77">
        <v>0</v>
      </c>
      <c r="I7" s="72" t="s">
        <v>68</v>
      </c>
      <c r="J7" s="9"/>
      <c r="K7" s="9"/>
      <c r="L7" s="9"/>
      <c r="M7" s="9"/>
      <c r="N7" s="14"/>
      <c r="O7" s="82"/>
      <c r="P7" s="82"/>
    </row>
    <row r="8" spans="1:38" x14ac:dyDescent="0.2">
      <c r="A8" s="18" t="s">
        <v>75</v>
      </c>
      <c r="B8" s="68">
        <v>0</v>
      </c>
      <c r="C8" s="69" t="s">
        <v>78</v>
      </c>
      <c r="D8" s="70" t="str">
        <f>IF(OR((B8&lt;0),(B8&gt;1000)),"Wert prüfen","gültiger Wert")</f>
        <v>gültiger Wert</v>
      </c>
      <c r="E8" s="9"/>
      <c r="F8" s="9"/>
      <c r="G8" s="9"/>
      <c r="H8" s="77">
        <v>0</v>
      </c>
      <c r="I8" s="72" t="s">
        <v>68</v>
      </c>
      <c r="J8" s="9"/>
      <c r="K8" s="9"/>
      <c r="L8" s="9"/>
      <c r="M8" s="9"/>
      <c r="N8" s="14"/>
      <c r="O8" s="82"/>
      <c r="P8" s="82"/>
    </row>
    <row r="9" spans="1:38" x14ac:dyDescent="0.2">
      <c r="A9" s="18" t="s">
        <v>76</v>
      </c>
      <c r="B9" s="68">
        <v>0</v>
      </c>
      <c r="C9" s="69" t="s">
        <v>79</v>
      </c>
      <c r="D9" s="70" t="str">
        <f>IF(OR((B9&lt;0),(B9&gt;1000)),"Wertprüfen","gültiger Wert")</f>
        <v>gültiger Wert</v>
      </c>
      <c r="E9" s="9"/>
      <c r="F9" s="9"/>
      <c r="G9" s="9"/>
      <c r="H9" s="77">
        <v>0</v>
      </c>
      <c r="I9" s="72" t="s">
        <v>68</v>
      </c>
      <c r="J9" s="9"/>
      <c r="K9" s="9"/>
      <c r="L9" s="9"/>
      <c r="M9" s="9"/>
      <c r="N9" s="14"/>
      <c r="O9" s="82"/>
      <c r="P9" s="82"/>
    </row>
    <row r="10" spans="1:38" x14ac:dyDescent="0.2">
      <c r="A10" s="18" t="s">
        <v>77</v>
      </c>
      <c r="B10" s="68">
        <v>0</v>
      </c>
      <c r="C10" s="69" t="s">
        <v>68</v>
      </c>
      <c r="D10" s="70" t="str">
        <f>IF(OR((B10&lt;0),(B10&gt;1000000)),"Wert prüfen","gültiger Wert")</f>
        <v>gültiger Wert</v>
      </c>
      <c r="E10" s="9"/>
      <c r="F10" s="9"/>
      <c r="G10" s="9"/>
      <c r="H10" s="77">
        <v>0</v>
      </c>
      <c r="I10" s="72" t="s">
        <v>68</v>
      </c>
      <c r="J10" s="9"/>
      <c r="K10" s="9"/>
      <c r="L10" s="9"/>
      <c r="M10" s="9"/>
      <c r="N10" s="14"/>
      <c r="O10" s="82"/>
      <c r="P10" s="82"/>
    </row>
    <row r="11" spans="1:38" x14ac:dyDescent="0.2">
      <c r="A11" s="18" t="s">
        <v>73</v>
      </c>
      <c r="B11" s="68">
        <v>4600</v>
      </c>
      <c r="C11" s="69" t="s">
        <v>68</v>
      </c>
      <c r="D11" s="70" t="str">
        <f>IF(OR((B11&lt;0),(B11&gt;100000)),"Wert prüfen","gültiger Wert")</f>
        <v>gültiger Wert</v>
      </c>
      <c r="E11" s="9"/>
      <c r="F11" s="9"/>
      <c r="G11" s="9"/>
      <c r="H11" s="77">
        <v>4600</v>
      </c>
      <c r="I11" s="72" t="s">
        <v>68</v>
      </c>
      <c r="J11" s="18" t="s">
        <v>29</v>
      </c>
      <c r="K11" s="19"/>
      <c r="L11" s="20"/>
      <c r="M11" s="75" t="s">
        <v>34</v>
      </c>
      <c r="N11" s="72"/>
      <c r="O11" s="82"/>
      <c r="P11" s="82"/>
    </row>
    <row r="12" spans="1:38" x14ac:dyDescent="0.2">
      <c r="A12" s="18" t="s">
        <v>74</v>
      </c>
      <c r="B12" s="68">
        <v>3000</v>
      </c>
      <c r="C12" s="69" t="s">
        <v>68</v>
      </c>
      <c r="D12" s="70" t="str">
        <f>IF(OR((B12&lt;0),(B12&gt;100000)),"Wert prüfen","gültiger Wert")</f>
        <v>gültiger Wert</v>
      </c>
      <c r="E12" s="9"/>
      <c r="F12" s="9"/>
      <c r="G12" s="9"/>
      <c r="H12" s="77">
        <v>3000</v>
      </c>
      <c r="I12" s="72" t="s">
        <v>68</v>
      </c>
      <c r="J12" s="21" t="s">
        <v>40</v>
      </c>
      <c r="K12" s="74">
        <v>0.31</v>
      </c>
      <c r="L12" s="20" t="s">
        <v>33</v>
      </c>
      <c r="M12" s="102">
        <v>0.31</v>
      </c>
      <c r="N12" s="72" t="s">
        <v>33</v>
      </c>
      <c r="O12" s="82"/>
      <c r="P12" s="82"/>
    </row>
    <row r="13" spans="1:38" x14ac:dyDescent="0.2">
      <c r="A13" s="18" t="s">
        <v>86</v>
      </c>
      <c r="B13" s="71">
        <v>0.8</v>
      </c>
      <c r="C13" s="69"/>
      <c r="D13" s="70" t="str">
        <f>IF(OR((B13&lt;0.5),(B13&gt;1)),"Wert außerhalb","gültiger Wert")</f>
        <v>gültiger Wert</v>
      </c>
      <c r="E13" s="9"/>
      <c r="F13" s="9"/>
      <c r="G13" s="9"/>
      <c r="H13" s="76">
        <v>0.8</v>
      </c>
      <c r="I13" s="72"/>
      <c r="J13" s="21" t="s">
        <v>30</v>
      </c>
      <c r="K13" s="74">
        <v>0.24</v>
      </c>
      <c r="L13" s="20" t="s">
        <v>33</v>
      </c>
      <c r="M13" s="102">
        <v>0.24</v>
      </c>
      <c r="N13" s="72" t="s">
        <v>33</v>
      </c>
      <c r="O13" s="82"/>
      <c r="P13" s="82"/>
    </row>
    <row r="14" spans="1:38" x14ac:dyDescent="0.2">
      <c r="A14" s="18" t="s">
        <v>39</v>
      </c>
      <c r="B14" s="67">
        <v>1.4</v>
      </c>
      <c r="C14" s="70" t="s">
        <v>87</v>
      </c>
      <c r="D14" s="70" t="str">
        <f>IF(OR((B14&lt;0),(B14&gt;10)),"Wert prüfen","gültiger Wert")</f>
        <v>gültiger Wert</v>
      </c>
      <c r="E14" s="9"/>
      <c r="F14" s="9"/>
      <c r="G14" s="9"/>
      <c r="H14" s="94" t="s">
        <v>82</v>
      </c>
      <c r="I14" s="72"/>
      <c r="J14" s="21" t="s">
        <v>22</v>
      </c>
      <c r="K14" s="74">
        <v>0.56000000000000005</v>
      </c>
      <c r="L14" s="20" t="s">
        <v>33</v>
      </c>
      <c r="M14" s="102">
        <v>0.56000000000000005</v>
      </c>
      <c r="N14" s="72" t="s">
        <v>33</v>
      </c>
      <c r="O14" s="82"/>
      <c r="P14" s="82"/>
    </row>
    <row r="15" spans="1:38" x14ac:dyDescent="0.2">
      <c r="A15" s="18" t="s">
        <v>19</v>
      </c>
      <c r="B15" s="67">
        <v>12</v>
      </c>
      <c r="C15" s="70" t="s">
        <v>21</v>
      </c>
      <c r="D15" s="70" t="str">
        <f>IF(OR((B15&lt;3),(B15&gt;100)),"Wert prüfen","gültiger Wert")</f>
        <v>gültiger Wert</v>
      </c>
      <c r="E15" s="9"/>
      <c r="F15" s="9"/>
      <c r="G15" s="9"/>
      <c r="H15" s="94" t="s">
        <v>83</v>
      </c>
      <c r="I15" s="72"/>
      <c r="J15" s="21" t="s">
        <v>31</v>
      </c>
      <c r="K15" s="74">
        <v>0.02</v>
      </c>
      <c r="L15" s="20" t="s">
        <v>33</v>
      </c>
      <c r="M15" s="102">
        <v>0.02</v>
      </c>
      <c r="N15" s="72" t="s">
        <v>33</v>
      </c>
      <c r="O15" s="82"/>
      <c r="P15" s="82"/>
    </row>
    <row r="16" spans="1:38" x14ac:dyDescent="0.2">
      <c r="A16" s="18" t="s">
        <v>23</v>
      </c>
      <c r="B16" s="68">
        <v>100</v>
      </c>
      <c r="C16" s="70" t="s">
        <v>25</v>
      </c>
      <c r="D16" s="21" t="str">
        <f>IF(OR((B16&lt;10),(B16&gt;1000)),"Wert prüfen","gültiger Wert")</f>
        <v>gültiger Wert</v>
      </c>
      <c r="E16" s="93">
        <v>1880</v>
      </c>
      <c r="F16" s="19" t="s">
        <v>27</v>
      </c>
      <c r="G16" s="110">
        <f>B16/E16*100</f>
        <v>5.3191489361702127</v>
      </c>
      <c r="H16" s="76">
        <v>100</v>
      </c>
      <c r="I16" s="108" t="s">
        <v>25</v>
      </c>
      <c r="J16" s="21" t="s">
        <v>32</v>
      </c>
      <c r="K16" s="74">
        <v>4.1000000000000002E-2</v>
      </c>
      <c r="L16" s="20" t="s">
        <v>33</v>
      </c>
      <c r="M16" s="102">
        <v>4.1000000000000002E-2</v>
      </c>
      <c r="N16" s="72" t="s">
        <v>33</v>
      </c>
      <c r="O16" s="4"/>
      <c r="P16" s="5"/>
      <c r="Q16" s="4"/>
      <c r="R16" s="5"/>
      <c r="S16" s="4"/>
      <c r="T16" s="4"/>
      <c r="AK16" s="82"/>
      <c r="AL16" s="82"/>
    </row>
    <row r="17" spans="1:38" x14ac:dyDescent="0.2">
      <c r="A17" s="18" t="s">
        <v>24</v>
      </c>
      <c r="B17" s="68">
        <v>400</v>
      </c>
      <c r="C17" s="70" t="s">
        <v>26</v>
      </c>
      <c r="D17" s="21" t="str">
        <f>IF(OR((B17&lt;150),(B17&gt;1000)),"Wert prüfen","gültiger Wert")</f>
        <v>gültiger Wert</v>
      </c>
      <c r="E17" s="93">
        <v>5400</v>
      </c>
      <c r="F17" s="109" t="s">
        <v>28</v>
      </c>
      <c r="G17" s="110">
        <f>B17/E17*100</f>
        <v>7.4074074074074066</v>
      </c>
      <c r="H17" s="76">
        <v>400</v>
      </c>
      <c r="I17" s="108" t="s">
        <v>26</v>
      </c>
      <c r="J17" s="10"/>
      <c r="K17" s="9"/>
      <c r="L17" s="9"/>
      <c r="M17" s="100"/>
      <c r="N17" s="101"/>
      <c r="O17" s="4"/>
      <c r="P17" s="5"/>
      <c r="Q17" s="4"/>
      <c r="R17" s="5"/>
      <c r="S17" s="4"/>
      <c r="T17" s="4"/>
      <c r="AK17" s="82"/>
      <c r="AL17" s="82"/>
    </row>
    <row r="18" spans="1:38" x14ac:dyDescent="0.2">
      <c r="A18" s="18" t="s">
        <v>20</v>
      </c>
      <c r="B18" s="67">
        <v>40</v>
      </c>
      <c r="C18" s="70" t="s">
        <v>21</v>
      </c>
      <c r="D18" s="70" t="str">
        <f>IF(OR((B18&lt;10),(B18&gt;200)),"Wert prüfen","gültiger Wert")</f>
        <v>gültiger Wert</v>
      </c>
      <c r="E18" s="9"/>
      <c r="F18" s="9"/>
      <c r="G18" s="9"/>
      <c r="H18" s="94" t="s">
        <v>84</v>
      </c>
      <c r="I18" s="72"/>
      <c r="J18" s="9"/>
      <c r="K18" s="9"/>
      <c r="L18" s="9"/>
      <c r="M18" s="100"/>
      <c r="N18" s="101"/>
      <c r="O18" s="82"/>
      <c r="P18" s="82"/>
    </row>
    <row r="19" spans="1:38" x14ac:dyDescent="0.2">
      <c r="A19" s="18" t="s">
        <v>80</v>
      </c>
      <c r="B19" s="67">
        <v>28</v>
      </c>
      <c r="C19" s="70" t="s">
        <v>21</v>
      </c>
      <c r="D19" s="70" t="str">
        <f>IF(OR((B19&lt;10),(B19&gt;200)),"Wert prüfen","gültiger Wert")</f>
        <v>gültiger Wert</v>
      </c>
      <c r="E19" s="9"/>
      <c r="F19" s="9"/>
      <c r="G19" s="9"/>
      <c r="H19" s="94">
        <v>28</v>
      </c>
      <c r="I19" s="72"/>
      <c r="J19" s="9"/>
      <c r="K19" s="9"/>
      <c r="L19" s="9"/>
      <c r="M19" s="100"/>
      <c r="N19" s="101"/>
      <c r="O19" s="82"/>
      <c r="P19" s="82"/>
    </row>
    <row r="20" spans="1:38" x14ac:dyDescent="0.2">
      <c r="A20" s="18" t="s">
        <v>119</v>
      </c>
      <c r="B20" s="68">
        <v>1000</v>
      </c>
      <c r="C20" s="118" t="s">
        <v>120</v>
      </c>
      <c r="D20" s="70" t="str">
        <f>IF(OR((B20&lt;500),(B20&gt;1500)),"Wert außerhalb","gültiger Wert")</f>
        <v>gültiger Wert</v>
      </c>
      <c r="E20" s="13"/>
      <c r="F20" s="9"/>
      <c r="G20" s="14"/>
      <c r="H20" s="94">
        <v>1000</v>
      </c>
      <c r="I20" s="72" t="s">
        <v>120</v>
      </c>
      <c r="J20" s="13"/>
      <c r="K20" s="9"/>
      <c r="L20" s="9"/>
      <c r="M20" s="9"/>
      <c r="N20" s="14"/>
      <c r="O20" s="82"/>
      <c r="P20" s="82"/>
    </row>
    <row r="21" spans="1:38" x14ac:dyDescent="0.2">
      <c r="A21" s="73" t="s">
        <v>69</v>
      </c>
      <c r="B21" s="67">
        <v>0.5</v>
      </c>
      <c r="C21" s="69" t="s">
        <v>93</v>
      </c>
      <c r="D21" s="70" t="str">
        <f>IF(OR((B21&lt;0),(B21&gt;10)),"Wert prüfen","gültiger Wert")</f>
        <v>gültiger Wert</v>
      </c>
      <c r="E21" s="9"/>
      <c r="F21" s="9"/>
      <c r="G21" s="9"/>
      <c r="H21" s="134">
        <v>0.5</v>
      </c>
      <c r="I21" s="119" t="s">
        <v>93</v>
      </c>
      <c r="J21" s="13"/>
      <c r="K21" s="97"/>
      <c r="L21" s="9"/>
      <c r="M21" s="9"/>
      <c r="N21" s="14"/>
      <c r="O21" s="82"/>
      <c r="P21" s="82"/>
    </row>
    <row r="22" spans="1:38" x14ac:dyDescent="0.2">
      <c r="A22" s="73" t="s">
        <v>176</v>
      </c>
      <c r="B22" s="67">
        <v>120</v>
      </c>
      <c r="C22" s="69" t="s">
        <v>177</v>
      </c>
      <c r="D22" s="70" t="str">
        <f>IF(OR((B22&lt;10),(B22&gt;1000)),"Wert prüfen","gültiger Wert")</f>
        <v>gültiger Wert</v>
      </c>
      <c r="E22" s="9"/>
      <c r="F22" s="9"/>
      <c r="G22" s="9"/>
      <c r="H22" s="134">
        <v>120</v>
      </c>
      <c r="I22" s="119" t="s">
        <v>177</v>
      </c>
      <c r="J22" s="13"/>
      <c r="K22" s="97"/>
      <c r="L22" s="9"/>
      <c r="M22" s="9"/>
      <c r="N22" s="14"/>
      <c r="O22" s="82"/>
      <c r="P22" s="82"/>
    </row>
    <row r="23" spans="1:38" x14ac:dyDescent="0.2">
      <c r="A23" s="18" t="s">
        <v>14</v>
      </c>
      <c r="B23" s="68">
        <v>4000</v>
      </c>
      <c r="C23" s="70" t="s">
        <v>15</v>
      </c>
      <c r="D23" s="70" t="str">
        <f>IF(OR((B23&lt;1000),(B23&gt;10000)),"Wert prüfen","gültiger Wert")</f>
        <v>gültiger Wert</v>
      </c>
      <c r="E23" s="9"/>
      <c r="F23" s="9"/>
      <c r="G23" s="9"/>
      <c r="H23" s="77" t="s">
        <v>85</v>
      </c>
      <c r="I23" s="72"/>
      <c r="J23" s="13"/>
      <c r="K23" s="9"/>
      <c r="L23" s="9"/>
      <c r="M23" s="9"/>
      <c r="N23" s="14"/>
      <c r="O23" s="82"/>
      <c r="P23" s="82"/>
    </row>
    <row r="24" spans="1:38" x14ac:dyDescent="0.2">
      <c r="A24" s="113" t="s">
        <v>88</v>
      </c>
      <c r="B24" s="146" t="s">
        <v>89</v>
      </c>
      <c r="C24" s="69" t="s">
        <v>90</v>
      </c>
      <c r="D24" s="70" t="str">
        <f>IF(OR(B24="n",B24="a"),"gültiger Wert","Fehleingabe")</f>
        <v>gültiger Wert</v>
      </c>
      <c r="E24" s="15"/>
      <c r="F24" s="15"/>
      <c r="G24" s="15"/>
      <c r="H24" s="114" t="s">
        <v>89</v>
      </c>
      <c r="I24" s="72"/>
      <c r="J24" s="111"/>
      <c r="K24" s="15"/>
      <c r="L24" s="15"/>
      <c r="M24" s="15"/>
      <c r="N24" s="16"/>
      <c r="O24" s="82"/>
      <c r="P24" s="82"/>
    </row>
    <row r="25" spans="1:38" x14ac:dyDescent="0.2">
      <c r="B25" s="3"/>
      <c r="C25" s="3"/>
      <c r="D25" s="6"/>
      <c r="E25" s="6"/>
      <c r="F25" s="3"/>
      <c r="G25" s="3"/>
      <c r="H25" s="3"/>
      <c r="I25" s="3"/>
      <c r="J25" s="6"/>
      <c r="K25" s="6"/>
      <c r="L25" s="5"/>
      <c r="M25" s="82"/>
      <c r="N25" s="82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</row>
    <row r="27" spans="1:38" x14ac:dyDescent="0.2">
      <c r="A27" s="24" t="s">
        <v>0</v>
      </c>
      <c r="B27" s="25" t="s">
        <v>35</v>
      </c>
      <c r="C27" s="27" t="s">
        <v>96</v>
      </c>
      <c r="D27" s="27" t="s">
        <v>154</v>
      </c>
      <c r="E27" s="27" t="s">
        <v>97</v>
      </c>
      <c r="F27" s="27" t="s">
        <v>98</v>
      </c>
      <c r="G27" s="27" t="s">
        <v>99</v>
      </c>
      <c r="H27" s="27" t="s">
        <v>100</v>
      </c>
    </row>
    <row r="28" spans="1:38" x14ac:dyDescent="0.2">
      <c r="A28" s="22"/>
      <c r="B28" s="22"/>
      <c r="C28" s="22" t="s">
        <v>101</v>
      </c>
      <c r="D28" s="22" t="s">
        <v>155</v>
      </c>
      <c r="E28" s="22" t="s">
        <v>101</v>
      </c>
      <c r="F28" s="22" t="s">
        <v>101</v>
      </c>
      <c r="G28" s="22" t="s">
        <v>101</v>
      </c>
      <c r="H28" s="22" t="s">
        <v>101</v>
      </c>
    </row>
    <row r="29" spans="1:38" x14ac:dyDescent="0.2">
      <c r="A29" s="22"/>
      <c r="B29" s="22"/>
      <c r="C29" s="22" t="s">
        <v>102</v>
      </c>
      <c r="D29" s="22" t="s">
        <v>156</v>
      </c>
      <c r="E29" s="22" t="s">
        <v>102</v>
      </c>
      <c r="F29" s="22" t="s">
        <v>102</v>
      </c>
      <c r="G29" s="22" t="s">
        <v>102</v>
      </c>
      <c r="H29" s="22" t="s">
        <v>102</v>
      </c>
    </row>
    <row r="30" spans="1:38" s="1" customFormat="1" x14ac:dyDescent="0.2">
      <c r="A30" s="22"/>
      <c r="B30" s="22"/>
      <c r="C30" s="22" t="s">
        <v>103</v>
      </c>
      <c r="D30" s="22" t="s">
        <v>157</v>
      </c>
      <c r="E30" s="22" t="s">
        <v>103</v>
      </c>
      <c r="F30" s="22" t="s">
        <v>106</v>
      </c>
      <c r="G30" s="22" t="s">
        <v>106</v>
      </c>
      <c r="H30" s="22" t="s">
        <v>107</v>
      </c>
      <c r="I30"/>
      <c r="J30"/>
      <c r="K30"/>
      <c r="L30"/>
    </row>
    <row r="31" spans="1:38" s="1" customFormat="1" x14ac:dyDescent="0.2">
      <c r="A31" s="22"/>
      <c r="B31" s="22"/>
      <c r="C31" s="22" t="s">
        <v>104</v>
      </c>
      <c r="D31" s="22" t="s">
        <v>158</v>
      </c>
      <c r="E31" s="22" t="s">
        <v>105</v>
      </c>
      <c r="F31" s="22" t="s">
        <v>104</v>
      </c>
      <c r="G31" s="22" t="s">
        <v>105</v>
      </c>
      <c r="H31" s="22" t="s">
        <v>108</v>
      </c>
    </row>
    <row r="32" spans="1:38" s="1" customFormat="1" x14ac:dyDescent="0.2">
      <c r="A32" s="28"/>
      <c r="B32" s="28"/>
      <c r="C32" s="28"/>
      <c r="D32" s="28" t="s">
        <v>159</v>
      </c>
      <c r="E32" s="28"/>
      <c r="F32" s="28"/>
      <c r="G32" s="28"/>
      <c r="H32" s="28"/>
    </row>
    <row r="33" spans="1:40" s="1" customFormat="1" x14ac:dyDescent="0.2">
      <c r="A33" s="22"/>
      <c r="B33" s="22"/>
      <c r="C33" s="22"/>
      <c r="D33" s="22"/>
      <c r="E33" s="22"/>
      <c r="F33" s="22"/>
      <c r="G33" s="22"/>
      <c r="H33" s="22"/>
    </row>
    <row r="34" spans="1:40" s="1" customFormat="1" x14ac:dyDescent="0.2">
      <c r="A34" s="37" t="s">
        <v>94</v>
      </c>
      <c r="B34" s="39"/>
      <c r="C34" s="115">
        <v>3</v>
      </c>
      <c r="D34" s="136">
        <f>C34</f>
        <v>3</v>
      </c>
      <c r="E34" s="115">
        <v>3</v>
      </c>
      <c r="F34" s="115">
        <v>12</v>
      </c>
      <c r="G34" s="115">
        <v>9</v>
      </c>
      <c r="H34" s="115">
        <v>12</v>
      </c>
    </row>
    <row r="35" spans="1:40" s="1" customFormat="1" x14ac:dyDescent="0.2">
      <c r="A35" s="37" t="s">
        <v>175</v>
      </c>
      <c r="B35" s="84"/>
      <c r="C35" s="107">
        <v>1.1000000000000001</v>
      </c>
      <c r="D35" s="116">
        <f>C35</f>
        <v>1.1000000000000001</v>
      </c>
      <c r="E35" s="107">
        <v>1.1000000000000001</v>
      </c>
      <c r="F35" s="107">
        <v>1.1000000000000001</v>
      </c>
      <c r="G35" s="107">
        <v>1.1000000000000001</v>
      </c>
      <c r="H35" s="107">
        <v>1.1000000000000001</v>
      </c>
    </row>
    <row r="36" spans="1:40" s="1" customFormat="1" x14ac:dyDescent="0.2">
      <c r="A36" s="37" t="s">
        <v>95</v>
      </c>
      <c r="B36" s="84"/>
      <c r="C36" s="116"/>
      <c r="D36" s="116"/>
      <c r="E36" s="116"/>
      <c r="F36" s="117">
        <v>35</v>
      </c>
      <c r="G36" s="117">
        <v>35</v>
      </c>
      <c r="H36" s="116"/>
    </row>
    <row r="37" spans="1:40" s="1" customFormat="1" x14ac:dyDescent="0.2">
      <c r="A37" s="37"/>
      <c r="B37" s="84"/>
      <c r="C37" s="84"/>
      <c r="D37" s="84"/>
      <c r="E37" s="84"/>
      <c r="F37" s="84"/>
      <c r="G37" s="84"/>
      <c r="H37" s="84"/>
    </row>
    <row r="38" spans="1:40" s="1" customFormat="1" x14ac:dyDescent="0.2">
      <c r="A38" s="83" t="s">
        <v>7</v>
      </c>
      <c r="B38" s="84"/>
      <c r="C38" s="39"/>
      <c r="D38" s="39"/>
      <c r="E38" s="39"/>
      <c r="F38" s="39"/>
      <c r="G38" s="39"/>
      <c r="H38" s="39"/>
    </row>
    <row r="39" spans="1:40" s="1" customFormat="1" x14ac:dyDescent="0.2">
      <c r="A39" s="37" t="s">
        <v>38</v>
      </c>
      <c r="B39" s="39"/>
      <c r="C39" s="39"/>
      <c r="D39" s="39"/>
      <c r="E39" s="39"/>
      <c r="F39" s="39"/>
      <c r="G39" s="39"/>
      <c r="H39" s="3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1" customFormat="1" x14ac:dyDescent="0.2">
      <c r="A40" s="37" t="s">
        <v>36</v>
      </c>
      <c r="B40" s="39"/>
      <c r="C40" s="39"/>
      <c r="D40" s="39"/>
      <c r="E40" s="39"/>
      <c r="F40" s="39"/>
      <c r="G40" s="39"/>
      <c r="H40" s="39"/>
      <c r="I40" s="3"/>
      <c r="J40" s="3"/>
      <c r="K40" s="3"/>
      <c r="L40" s="3"/>
    </row>
    <row r="41" spans="1:40" s="1" customFormat="1" x14ac:dyDescent="0.2">
      <c r="A41" s="37" t="s">
        <v>37</v>
      </c>
      <c r="B41" s="39"/>
      <c r="C41" s="39"/>
      <c r="D41" s="39"/>
      <c r="E41" s="39"/>
      <c r="F41" s="39"/>
      <c r="G41" s="39"/>
      <c r="H41" s="39"/>
    </row>
    <row r="42" spans="1:40" s="1" customFormat="1" x14ac:dyDescent="0.2">
      <c r="A42" s="37" t="s">
        <v>6</v>
      </c>
      <c r="B42" s="39"/>
      <c r="C42" s="85">
        <v>8000</v>
      </c>
      <c r="D42" s="39">
        <f>C42</f>
        <v>8000</v>
      </c>
      <c r="E42" s="85">
        <v>9000</v>
      </c>
      <c r="F42" s="85">
        <v>13000</v>
      </c>
      <c r="G42" s="85">
        <v>13000</v>
      </c>
      <c r="H42" s="85">
        <v>10000</v>
      </c>
    </row>
    <row r="43" spans="1:40" s="1" customFormat="1" x14ac:dyDescent="0.2">
      <c r="A43" s="37" t="s">
        <v>11</v>
      </c>
      <c r="B43" s="39"/>
      <c r="C43" s="39"/>
      <c r="D43" s="39"/>
      <c r="E43" s="39"/>
      <c r="F43" s="39"/>
      <c r="G43" s="39"/>
      <c r="H43" s="39"/>
    </row>
    <row r="44" spans="1:40" s="1" customFormat="1" x14ac:dyDescent="0.2">
      <c r="A44" s="37" t="s">
        <v>8</v>
      </c>
      <c r="B44" s="39"/>
      <c r="C44" s="39"/>
      <c r="D44" s="39"/>
      <c r="E44" s="39"/>
      <c r="F44" s="39"/>
      <c r="G44" s="39"/>
      <c r="H44" s="39"/>
    </row>
    <row r="45" spans="1:40" s="1" customFormat="1" x14ac:dyDescent="0.2">
      <c r="A45" s="37" t="s">
        <v>9</v>
      </c>
      <c r="B45" s="39"/>
      <c r="C45" s="39"/>
      <c r="D45" s="39"/>
      <c r="E45" s="39"/>
      <c r="F45" s="39"/>
      <c r="G45" s="39"/>
      <c r="H45" s="39"/>
    </row>
    <row r="46" spans="1:40" s="1" customFormat="1" x14ac:dyDescent="0.2">
      <c r="A46" s="37" t="s">
        <v>10</v>
      </c>
      <c r="B46" s="39"/>
      <c r="C46" s="39"/>
      <c r="D46" s="39"/>
      <c r="E46" s="39"/>
      <c r="F46" s="85">
        <v>0</v>
      </c>
      <c r="G46" s="85">
        <v>0</v>
      </c>
      <c r="H46" s="39"/>
      <c r="I46" s="39"/>
    </row>
    <row r="47" spans="1:40" s="1" customFormat="1" x14ac:dyDescent="0.2">
      <c r="A47" s="86" t="s">
        <v>12</v>
      </c>
      <c r="B47" s="87"/>
      <c r="C47" s="87"/>
      <c r="D47" s="87"/>
      <c r="E47" s="87"/>
      <c r="F47" s="87"/>
      <c r="G47" s="87"/>
      <c r="H47" s="87"/>
    </row>
    <row r="48" spans="1:40" s="1" customFormat="1" x14ac:dyDescent="0.2">
      <c r="A48" s="29" t="s">
        <v>1</v>
      </c>
      <c r="B48" s="30">
        <f t="shared" ref="B48:C48" si="0">SUM(B38:B47)</f>
        <v>0</v>
      </c>
      <c r="C48" s="30">
        <f t="shared" si="0"/>
        <v>8000</v>
      </c>
      <c r="D48" s="30">
        <f t="shared" ref="D48" si="1">SUM(D38:D47)</f>
        <v>8000</v>
      </c>
      <c r="E48" s="30">
        <f t="shared" ref="E48:F48" si="2">SUM(E38:E47)</f>
        <v>9000</v>
      </c>
      <c r="F48" s="30">
        <f t="shared" si="2"/>
        <v>13000</v>
      </c>
      <c r="G48" s="30">
        <f t="shared" ref="G48:H48" si="3">SUM(G38:G47)</f>
        <v>13000</v>
      </c>
      <c r="H48" s="30">
        <f t="shared" si="3"/>
        <v>10000</v>
      </c>
    </row>
    <row r="49" spans="1:12" s="1" customFormat="1" x14ac:dyDescent="0.2">
      <c r="A49" s="24" t="s">
        <v>170</v>
      </c>
      <c r="B49" s="95"/>
      <c r="C49" s="85">
        <v>30000</v>
      </c>
      <c r="D49" s="85">
        <v>30000</v>
      </c>
      <c r="E49" s="85">
        <v>30000</v>
      </c>
      <c r="F49" s="85">
        <v>30000</v>
      </c>
      <c r="G49" s="85">
        <v>30000</v>
      </c>
      <c r="H49" s="85">
        <v>30000</v>
      </c>
    </row>
    <row r="50" spans="1:12" s="1" customFormat="1" x14ac:dyDescent="0.2">
      <c r="A50" s="24" t="s">
        <v>171</v>
      </c>
      <c r="B50" s="95"/>
      <c r="C50" s="107">
        <v>0.6</v>
      </c>
      <c r="D50" s="107">
        <v>0.6</v>
      </c>
      <c r="E50" s="107">
        <v>0.6</v>
      </c>
      <c r="F50" s="107">
        <v>0.6</v>
      </c>
      <c r="G50" s="107">
        <v>0.6</v>
      </c>
      <c r="H50" s="107">
        <v>0.6</v>
      </c>
    </row>
    <row r="51" spans="1:12" s="1" customFormat="1" x14ac:dyDescent="0.2">
      <c r="A51" s="24" t="s">
        <v>61</v>
      </c>
      <c r="B51" s="95"/>
      <c r="C51" s="95">
        <f>IF($B$24="a",IF(C48&gt;C49,C49,C48),0)</f>
        <v>8000</v>
      </c>
      <c r="D51" s="95">
        <f t="shared" ref="D51:H51" si="4">IF($B$24="a",IF(D48&gt;D49,D49,D48),0)</f>
        <v>8000</v>
      </c>
      <c r="E51" s="95">
        <f t="shared" si="4"/>
        <v>9000</v>
      </c>
      <c r="F51" s="95">
        <f t="shared" si="4"/>
        <v>13000</v>
      </c>
      <c r="G51" s="95">
        <f t="shared" si="4"/>
        <v>13000</v>
      </c>
      <c r="H51" s="95">
        <f t="shared" si="4"/>
        <v>10000</v>
      </c>
    </row>
    <row r="52" spans="1:12" x14ac:dyDescent="0.2">
      <c r="A52" s="24" t="s">
        <v>62</v>
      </c>
      <c r="B52" s="95"/>
      <c r="C52" s="95">
        <f>C50*C51</f>
        <v>4800</v>
      </c>
      <c r="D52" s="95">
        <f t="shared" ref="D52:H52" si="5">D50*D51</f>
        <v>4800</v>
      </c>
      <c r="E52" s="95">
        <f t="shared" si="5"/>
        <v>5400</v>
      </c>
      <c r="F52" s="95">
        <f t="shared" si="5"/>
        <v>7800</v>
      </c>
      <c r="G52" s="95">
        <f t="shared" si="5"/>
        <v>7800</v>
      </c>
      <c r="H52" s="95">
        <f t="shared" si="5"/>
        <v>6000</v>
      </c>
      <c r="I52" s="1"/>
      <c r="J52" s="1"/>
      <c r="K52" s="1"/>
      <c r="L52" s="1"/>
    </row>
    <row r="53" spans="1:12" x14ac:dyDescent="0.2">
      <c r="A53" s="24" t="s">
        <v>64</v>
      </c>
      <c r="B53" s="95"/>
      <c r="C53" s="95">
        <f>IF( C34&lt;=2,2400*C34,0)</f>
        <v>0</v>
      </c>
      <c r="D53" s="95">
        <f>IF( D34&lt;=2,2400*D34,0)</f>
        <v>0</v>
      </c>
      <c r="E53" s="95">
        <f t="shared" ref="E53" si="6">IF( E34&lt;=2,2400*E34,0)</f>
        <v>0</v>
      </c>
      <c r="F53" s="95">
        <f>IF(B24="a",0,IF( F34&lt;=2,2400*F34,0))</f>
        <v>0</v>
      </c>
      <c r="G53" s="95">
        <f>IF(C24="a",0,IF( G34&lt;=2,2400*G34,0))</f>
        <v>0</v>
      </c>
      <c r="H53" s="95">
        <f>IF(D24="a",0,IF( H34&lt;=2,2400*H34,0))</f>
        <v>0</v>
      </c>
    </row>
    <row r="54" spans="1:12" x14ac:dyDescent="0.2">
      <c r="A54" s="24" t="s">
        <v>65</v>
      </c>
      <c r="B54" s="95"/>
      <c r="C54" s="80"/>
      <c r="D54" s="80"/>
      <c r="E54" s="80"/>
      <c r="F54" s="80"/>
      <c r="G54" s="80"/>
      <c r="H54" s="80"/>
    </row>
    <row r="55" spans="1:12" x14ac:dyDescent="0.2">
      <c r="A55" s="35" t="s">
        <v>5</v>
      </c>
      <c r="B55" s="79">
        <f>B52+B53+B54</f>
        <v>0</v>
      </c>
      <c r="C55" s="79">
        <f t="shared" ref="C55:F55" si="7">C52+C53+C54</f>
        <v>4800</v>
      </c>
      <c r="D55" s="79">
        <f t="shared" ref="D55" si="8">D52+D53+D54</f>
        <v>4800</v>
      </c>
      <c r="E55" s="79">
        <f t="shared" si="7"/>
        <v>5400</v>
      </c>
      <c r="F55" s="79">
        <f t="shared" si="7"/>
        <v>7800</v>
      </c>
      <c r="G55" s="79">
        <f t="shared" ref="G55:H55" si="9">G52+G53+G54</f>
        <v>7800</v>
      </c>
      <c r="H55" s="79">
        <f t="shared" si="9"/>
        <v>6000</v>
      </c>
    </row>
    <row r="56" spans="1:12" x14ac:dyDescent="0.2">
      <c r="A56" s="22" t="s">
        <v>13</v>
      </c>
      <c r="B56" s="23">
        <f t="shared" ref="B56" si="10">B48-B55</f>
        <v>0</v>
      </c>
      <c r="C56" s="23">
        <f t="shared" ref="C56:F56" si="11">C48-C55</f>
        <v>3200</v>
      </c>
      <c r="D56" s="23">
        <f t="shared" ref="D56" si="12">D48-D55</f>
        <v>3200</v>
      </c>
      <c r="E56" s="23">
        <f t="shared" ref="E56" si="13">E48-E55</f>
        <v>3600</v>
      </c>
      <c r="F56" s="23">
        <f t="shared" si="11"/>
        <v>5200</v>
      </c>
      <c r="G56" s="23">
        <f t="shared" ref="G56:H56" si="14">G48-G55</f>
        <v>5200</v>
      </c>
      <c r="H56" s="23">
        <f t="shared" si="14"/>
        <v>4000</v>
      </c>
    </row>
    <row r="57" spans="1:12" x14ac:dyDescent="0.2">
      <c r="A57" s="29" t="s">
        <v>45</v>
      </c>
      <c r="B57" s="30">
        <v>0</v>
      </c>
      <c r="C57" s="95">
        <f>C56-$B$56</f>
        <v>3200</v>
      </c>
      <c r="D57" s="95">
        <f>D56-$B$56</f>
        <v>3200</v>
      </c>
      <c r="E57" s="95">
        <f>E56-$B$56</f>
        <v>3600</v>
      </c>
      <c r="F57" s="95">
        <f>F56-$B$56</f>
        <v>5200</v>
      </c>
      <c r="G57" s="95">
        <f t="shared" ref="G57:H57" si="15">G56-$B$56</f>
        <v>5200</v>
      </c>
      <c r="H57" s="95">
        <f t="shared" si="15"/>
        <v>4000</v>
      </c>
    </row>
    <row r="58" spans="1:12" x14ac:dyDescent="0.2">
      <c r="A58" s="24" t="s">
        <v>66</v>
      </c>
      <c r="B58" s="36">
        <f>10*ROUND((B6*10.6+B7+B8*E16+B9*E17+B10-B11)*B13/10,0)</f>
        <v>17520</v>
      </c>
      <c r="C58" s="36">
        <f>B58</f>
        <v>17520</v>
      </c>
      <c r="D58" s="36">
        <f>C58</f>
        <v>17520</v>
      </c>
      <c r="E58" s="36">
        <f>C58</f>
        <v>17520</v>
      </c>
      <c r="F58" s="36">
        <f>C58</f>
        <v>17520</v>
      </c>
      <c r="G58" s="36">
        <f t="shared" ref="G58:H59" si="16">E58</f>
        <v>17520</v>
      </c>
      <c r="H58" s="36">
        <f t="shared" si="16"/>
        <v>17520</v>
      </c>
    </row>
    <row r="59" spans="1:12" x14ac:dyDescent="0.2">
      <c r="A59" s="35" t="s">
        <v>67</v>
      </c>
      <c r="B59" s="36">
        <f>B11-B12</f>
        <v>1600</v>
      </c>
      <c r="C59" s="36">
        <f>B59</f>
        <v>1600</v>
      </c>
      <c r="D59" s="36">
        <f>C59</f>
        <v>1600</v>
      </c>
      <c r="E59" s="36">
        <f>C59</f>
        <v>1600</v>
      </c>
      <c r="F59" s="36">
        <f>C59</f>
        <v>1600</v>
      </c>
      <c r="G59" s="36">
        <f t="shared" si="16"/>
        <v>1600</v>
      </c>
      <c r="H59" s="36">
        <f t="shared" si="16"/>
        <v>1600</v>
      </c>
    </row>
    <row r="60" spans="1:12" x14ac:dyDescent="0.2">
      <c r="A60" s="83" t="s">
        <v>117</v>
      </c>
      <c r="B60" s="36"/>
      <c r="C60" s="105">
        <f>Berechnung!B12</f>
        <v>1110</v>
      </c>
      <c r="D60" s="105">
        <f>C60</f>
        <v>1110</v>
      </c>
      <c r="E60" s="105">
        <f>Berechnung!E12</f>
        <v>1440</v>
      </c>
      <c r="F60" s="105">
        <f>Berechnung!C33</f>
        <v>5040</v>
      </c>
      <c r="G60" s="105">
        <f>Berechnung!E33</f>
        <v>4540</v>
      </c>
      <c r="H60" s="105">
        <f>Berechnung!C45</f>
        <v>4920</v>
      </c>
    </row>
    <row r="61" spans="1:12" x14ac:dyDescent="0.2">
      <c r="A61" s="83" t="s">
        <v>160</v>
      </c>
      <c r="B61" s="36"/>
      <c r="C61" s="105">
        <f>Berechnung!B13</f>
        <v>3310</v>
      </c>
      <c r="D61" s="105">
        <f>C61</f>
        <v>3310</v>
      </c>
      <c r="E61" s="105">
        <f>Berechnung!E13</f>
        <v>3640</v>
      </c>
      <c r="F61" s="105">
        <f>Berechnung!C34</f>
        <v>7240</v>
      </c>
      <c r="G61" s="105">
        <f>Berechnung!E34</f>
        <v>6740</v>
      </c>
      <c r="H61" s="105">
        <f>Berechnung!C46</f>
        <v>4920</v>
      </c>
    </row>
    <row r="62" spans="1:12" x14ac:dyDescent="0.2">
      <c r="A62" s="83" t="s">
        <v>113</v>
      </c>
      <c r="B62" s="36"/>
      <c r="C62" s="105">
        <f>IF($B$6&gt;0,10*ROUND((10.6*$B$6-C$61*10.6*$B$6/($B$68-$B$67))/10,0),0)</f>
        <v>23190</v>
      </c>
      <c r="D62" s="105">
        <f>IF($B$6&gt;0,10*ROUND((10.6*$B$6)/10,0),0)</f>
        <v>26500</v>
      </c>
      <c r="E62" s="105">
        <f>IF($B$6&gt;0,10*ROUND((10.6*$B$6-E$61*10.6*$B$6/($B$68-$B$67))/10,0),0)</f>
        <v>22860</v>
      </c>
      <c r="F62" s="105">
        <f>IF($B$6&gt;0,10*ROUND((10.6*$B$6-F$61*10.6*$B$6/($B$68-$B$67))/10,0),0)</f>
        <v>19260</v>
      </c>
      <c r="G62" s="105">
        <f>IF($B$6&gt;0,10*ROUND((10.6*$B$6-G$61*10.6*$B$6/($B$68-$B$67))/10,0),0)</f>
        <v>19760</v>
      </c>
      <c r="H62" s="105">
        <f>IF($B$6&gt;0,10*ROUND((10.6*$B$6-H$60*10.6*$B$6/($B$68-$B$67))/10,0),0)</f>
        <v>21580</v>
      </c>
    </row>
    <row r="63" spans="1:12" x14ac:dyDescent="0.2">
      <c r="A63" s="37" t="s">
        <v>81</v>
      </c>
      <c r="B63" s="36"/>
      <c r="C63" s="105">
        <f>IF($B$7&gt;0,10*ROUND(($B$7-C$61*$B$7/($B$68-$B$67))/10,0),0)</f>
        <v>0</v>
      </c>
      <c r="D63" s="105">
        <f>IF($B$7&gt;0,10*ROUND(($B$7)/10,0),0)</f>
        <v>0</v>
      </c>
      <c r="E63" s="105">
        <f>IF($B$7&gt;0,10*ROUND(($B$7-E$61*$B$7/($B$68-$B$67))/10,0),0)</f>
        <v>0</v>
      </c>
      <c r="F63" s="105">
        <f>IF($B$7&gt;0,10*ROUND(($B$7-F$61*$B$7/($B$68-$B$67))/10,0),0)</f>
        <v>0</v>
      </c>
      <c r="G63" s="105">
        <f>IF($B$7&gt;0,10*ROUND(($B$7-G$61*$B$7/($B$68-$B$67))/10,0),0)</f>
        <v>0</v>
      </c>
      <c r="H63" s="105">
        <f>IF($B$7&gt;0,10*ROUND(($B$7-H$60*$B$7/($B$68-$B$67))/10,0),0)</f>
        <v>0</v>
      </c>
    </row>
    <row r="64" spans="1:12" x14ac:dyDescent="0.2">
      <c r="A64" s="37" t="s">
        <v>114</v>
      </c>
      <c r="B64" s="36"/>
      <c r="C64" s="105">
        <f>IF($B$8&gt;0,10*ROUND(($E$16*$B$8-C$61*$E$16*$B$8/($B$68-$B$67))/10,0),0)</f>
        <v>0</v>
      </c>
      <c r="D64" s="105">
        <f>IF($B$8&gt;0,10*ROUND(($E$16*$B$8)/10,0),0)</f>
        <v>0</v>
      </c>
      <c r="E64" s="105">
        <f>IF($B$8&gt;0,10*ROUND(($E$16*$B$8-E$61*$E$16*$B$8/($B$68-$B$67))/10,0),0)</f>
        <v>0</v>
      </c>
      <c r="F64" s="105">
        <f>IF($B$8&gt;0,10*ROUND(($E$16*$B$8-F$61*$E$16*$B$8/($B$68-$B$67))/10,0),0)</f>
        <v>0</v>
      </c>
      <c r="G64" s="105">
        <f>IF($B$8&gt;0,10*ROUND(($E$16*$B$8-G$61*$E$16*$B$8/($B$68-$B$67))/10,0),0)</f>
        <v>0</v>
      </c>
      <c r="H64" s="105">
        <f>IF($B$8&gt;0,10*ROUND(($E$16*$B$8-H$60*$E$16*$B$8/($B$68-$B$67))/10,0),0)</f>
        <v>0</v>
      </c>
    </row>
    <row r="65" spans="1:9" x14ac:dyDescent="0.2">
      <c r="A65" s="37" t="s">
        <v>115</v>
      </c>
      <c r="B65" s="36"/>
      <c r="C65" s="105">
        <f>IF($B$9&gt;0,10*ROUND(($E$17*$B$9-C$61*$E$17*$B$9/($B$68-$B$67))/10,0),0)</f>
        <v>0</v>
      </c>
      <c r="D65" s="105">
        <f>IF($B$9&gt;0,10*ROUND(($E$17*$B$9)/10,0),0)</f>
        <v>0</v>
      </c>
      <c r="E65" s="105">
        <f>IF($B$9&gt;0,10*ROUND(($E$17*$B$9-E$61*$E$17*$B$9/($B$68-$B$67))/10,0),0)</f>
        <v>0</v>
      </c>
      <c r="F65" s="105">
        <f>IF($B$9&gt;0,10*ROUND(($E$17*$B$9-F$61*$E$17*$B$9/($B$68-$B$67))/10,0),0)</f>
        <v>0</v>
      </c>
      <c r="G65" s="105">
        <f>IF($B$9&gt;0,10*ROUND(($E$17*$B$9-G$61*$E$17*$B$9/($B$68-$B$67))/10,0),0)</f>
        <v>0</v>
      </c>
      <c r="H65" s="105">
        <f>IF($B$9&gt;0,10*ROUND(($E$17*$B$9-H$60*$E$17*$B$9/($B$68-$B$67))/10,0),0)</f>
        <v>0</v>
      </c>
    </row>
    <row r="66" spans="1:9" x14ac:dyDescent="0.2">
      <c r="A66" s="37" t="s">
        <v>116</v>
      </c>
      <c r="B66" s="36"/>
      <c r="C66" s="105">
        <f>IF($B$10&gt;0,10*ROUND(($B$10-C$61*$B$10/($B$68-$B$67))/10,0),0)</f>
        <v>0</v>
      </c>
      <c r="D66" s="105">
        <f>IF($B$10&gt;0,10*ROUND(($B$10-D$61)/10,0),0)</f>
        <v>0</v>
      </c>
      <c r="E66" s="105">
        <f>IF($B$10&gt;0,10*ROUND(($B$10-E$61*$B$10/($B$68-$B$67))/10,0),0)</f>
        <v>0</v>
      </c>
      <c r="F66" s="105">
        <f>IF($B$10&gt;0,10*ROUND(($B$10-F$61*$B$10/($B$68-$B$67))/10,0),0)</f>
        <v>0</v>
      </c>
      <c r="G66" s="105">
        <f>IF($B$10&gt;0,10*ROUND(($B$10-G$61*$B$10/($B$68-$B$67))/10,0),0)</f>
        <v>0</v>
      </c>
      <c r="H66" s="105">
        <f>IF($B$10&gt;0,10*ROUND(($B$10-H$60*$B$10/($B$68-$B$67))/10,0),0)</f>
        <v>0</v>
      </c>
    </row>
    <row r="67" spans="1:9" x14ac:dyDescent="0.2">
      <c r="A67" s="37" t="s">
        <v>44</v>
      </c>
      <c r="B67" s="38">
        <f>B23</f>
        <v>4000</v>
      </c>
      <c r="C67" s="38">
        <f>B67</f>
        <v>4000</v>
      </c>
      <c r="D67" s="38">
        <f>C67</f>
        <v>4000</v>
      </c>
      <c r="E67" s="38">
        <f>C67</f>
        <v>4000</v>
      </c>
      <c r="F67" s="38">
        <f>C67</f>
        <v>4000</v>
      </c>
      <c r="G67" s="38">
        <f t="shared" ref="G67:H67" si="17">E67</f>
        <v>4000</v>
      </c>
      <c r="H67" s="38">
        <f t="shared" si="17"/>
        <v>4000</v>
      </c>
      <c r="I67" s="3"/>
    </row>
    <row r="68" spans="1:9" x14ac:dyDescent="0.2">
      <c r="A68" s="37" t="s">
        <v>18</v>
      </c>
      <c r="B68" s="38">
        <f>10*ROUND((B6*10.6+B7+B8*$E$16+B9*$E$17+B10+B67)/10,0)</f>
        <v>30500</v>
      </c>
      <c r="C68" s="38">
        <f t="shared" ref="C68:H68" si="18">10*ROUND(SUM(C62:C67)/10,0)</f>
        <v>27190</v>
      </c>
      <c r="D68" s="38">
        <f t="shared" si="18"/>
        <v>30500</v>
      </c>
      <c r="E68" s="38">
        <f t="shared" si="18"/>
        <v>26860</v>
      </c>
      <c r="F68" s="38">
        <f t="shared" si="18"/>
        <v>23260</v>
      </c>
      <c r="G68" s="38">
        <f t="shared" si="18"/>
        <v>23760</v>
      </c>
      <c r="H68" s="38">
        <f t="shared" si="18"/>
        <v>25580</v>
      </c>
    </row>
    <row r="69" spans="1:9" x14ac:dyDescent="0.2">
      <c r="A69" s="37" t="s">
        <v>41</v>
      </c>
      <c r="B69" s="39">
        <f>10*ROUND((B6*$B$14+B7*$B$15/100+B8*$B$16+B9*$B$17+B10*$B$19/100+B67*$B$18/100)/10,0)</f>
        <v>5100</v>
      </c>
      <c r="C69" s="39">
        <f t="shared" ref="C69:H69" si="19">10*ROUND((C62*$B$14/10.6+C63*$B$15/100+C64*$G$16/100+C65*$G$17/100+C66*$B$19/100+C67*$B$18/100)/10,0)</f>
        <v>4660</v>
      </c>
      <c r="D69" s="39">
        <f t="shared" si="19"/>
        <v>5100</v>
      </c>
      <c r="E69" s="39">
        <f t="shared" si="19"/>
        <v>4620</v>
      </c>
      <c r="F69" s="39">
        <f t="shared" si="19"/>
        <v>4140</v>
      </c>
      <c r="G69" s="39">
        <f t="shared" si="19"/>
        <v>4210</v>
      </c>
      <c r="H69" s="39">
        <f t="shared" si="19"/>
        <v>4450</v>
      </c>
    </row>
    <row r="70" spans="1:9" x14ac:dyDescent="0.2">
      <c r="A70" s="22" t="s">
        <v>42</v>
      </c>
      <c r="B70" s="78">
        <v>200</v>
      </c>
      <c r="C70" s="39">
        <f t="shared" ref="C70:H70" si="20">10*ROUND($B$21*C42/1000,0)+$B$70+$B$71</f>
        <v>240</v>
      </c>
      <c r="D70" s="39">
        <f t="shared" si="20"/>
        <v>240</v>
      </c>
      <c r="E70" s="39">
        <f t="shared" si="20"/>
        <v>250</v>
      </c>
      <c r="F70" s="39">
        <f t="shared" si="20"/>
        <v>270</v>
      </c>
      <c r="G70" s="39">
        <f t="shared" si="20"/>
        <v>270</v>
      </c>
      <c r="H70" s="39">
        <f t="shared" si="20"/>
        <v>250</v>
      </c>
    </row>
    <row r="71" spans="1:9" x14ac:dyDescent="0.2">
      <c r="A71" s="22" t="s">
        <v>153</v>
      </c>
      <c r="B71" s="78"/>
      <c r="C71" s="78"/>
      <c r="D71" s="78"/>
      <c r="E71" s="78"/>
      <c r="F71" s="78"/>
      <c r="G71" s="78"/>
      <c r="H71" s="78"/>
    </row>
    <row r="72" spans="1:9" x14ac:dyDescent="0.2">
      <c r="A72" s="40" t="s">
        <v>43</v>
      </c>
      <c r="B72" s="41">
        <f>B69+B70+B71</f>
        <v>5300</v>
      </c>
      <c r="C72" s="41">
        <f t="shared" ref="C72:H72" si="21">C69+C70+C71</f>
        <v>4900</v>
      </c>
      <c r="D72" s="41">
        <f t="shared" ref="D72" si="22">D69+D70+D71</f>
        <v>5340</v>
      </c>
      <c r="E72" s="41">
        <f t="shared" si="21"/>
        <v>4870</v>
      </c>
      <c r="F72" s="41">
        <f t="shared" si="21"/>
        <v>4410</v>
      </c>
      <c r="G72" s="41">
        <f t="shared" si="21"/>
        <v>4480</v>
      </c>
      <c r="H72" s="41">
        <f t="shared" si="21"/>
        <v>4700</v>
      </c>
    </row>
    <row r="73" spans="1:9" x14ac:dyDescent="0.2">
      <c r="A73" s="29" t="s">
        <v>2</v>
      </c>
      <c r="B73" s="42">
        <v>0</v>
      </c>
      <c r="C73" s="42">
        <f t="shared" ref="C73:H73" si="23">-C57-20*(C72-$B$72)</f>
        <v>4800</v>
      </c>
      <c r="D73" s="42">
        <f t="shared" si="23"/>
        <v>-4000</v>
      </c>
      <c r="E73" s="42">
        <f t="shared" si="23"/>
        <v>5000</v>
      </c>
      <c r="F73" s="42">
        <f t="shared" si="23"/>
        <v>12600</v>
      </c>
      <c r="G73" s="42">
        <f t="shared" si="23"/>
        <v>11200</v>
      </c>
      <c r="H73" s="42">
        <f t="shared" si="23"/>
        <v>8000</v>
      </c>
    </row>
    <row r="74" spans="1:9" x14ac:dyDescent="0.2">
      <c r="A74" s="29" t="s">
        <v>16</v>
      </c>
      <c r="B74" s="81"/>
      <c r="C74" s="44">
        <f t="shared" ref="C74:H74" si="24">IF((($B$72-C72)=0),IF((C57&lt;=0),"sofort","nie"),IF((C57/($B$72-C72)&lt;=0),IF((C57&lt;=0),"sofort","nie"),C57/($B$72-C72)))</f>
        <v>8</v>
      </c>
      <c r="D74" s="44" t="str">
        <f t="shared" si="24"/>
        <v>nie</v>
      </c>
      <c r="E74" s="44">
        <f t="shared" si="24"/>
        <v>8.3720930232558146</v>
      </c>
      <c r="F74" s="44">
        <f t="shared" si="24"/>
        <v>5.8426966292134832</v>
      </c>
      <c r="G74" s="44">
        <f t="shared" si="24"/>
        <v>6.3414634146341466</v>
      </c>
      <c r="H74" s="44">
        <f t="shared" si="24"/>
        <v>6.666666666666667</v>
      </c>
    </row>
    <row r="75" spans="1:9" x14ac:dyDescent="0.2">
      <c r="A75" s="29" t="s">
        <v>17</v>
      </c>
      <c r="B75" s="45">
        <f>ROUND((B6*10.6*$K$12+B7*$K$13+B8*$E$16*$K$15+B9*$E$17*$K$16+B10*$K$14+B67*$K$14)/1000,1)</f>
        <v>10.5</v>
      </c>
      <c r="C75" s="45">
        <f t="shared" ref="C75:H75" si="25">ROUND((C62*$K$12+C63*$K$13+C64*$K$15+C65*$K$16+C66*$K$14+C67*$K$14)/1000,1)</f>
        <v>9.4</v>
      </c>
      <c r="D75" s="45">
        <f t="shared" si="25"/>
        <v>10.5</v>
      </c>
      <c r="E75" s="45">
        <f t="shared" si="25"/>
        <v>9.3000000000000007</v>
      </c>
      <c r="F75" s="45">
        <f t="shared" si="25"/>
        <v>8.1999999999999993</v>
      </c>
      <c r="G75" s="45">
        <f t="shared" si="25"/>
        <v>8.4</v>
      </c>
      <c r="H75" s="45">
        <f t="shared" si="25"/>
        <v>8.9</v>
      </c>
    </row>
    <row r="76" spans="1:9" x14ac:dyDescent="0.2">
      <c r="A76" s="29" t="s">
        <v>3</v>
      </c>
      <c r="B76" s="46">
        <v>0</v>
      </c>
      <c r="C76" s="121">
        <f>ROUND(100*($B$68-C68)/($B$68-$B$67),1)/100</f>
        <v>0.125</v>
      </c>
      <c r="D76" s="121">
        <f>ROUND(100*($B$68-D68)/($B$68-$B$67),1)/100</f>
        <v>0</v>
      </c>
      <c r="E76" s="121">
        <f t="shared" ref="E76:H76" si="26">ROUND(100*($B$68-E68)/($B$68-$B$67),1)/100</f>
        <v>0.13699999999999998</v>
      </c>
      <c r="F76" s="121">
        <f t="shared" si="26"/>
        <v>0.27300000000000002</v>
      </c>
      <c r="G76" s="121">
        <f t="shared" si="26"/>
        <v>0.254</v>
      </c>
      <c r="H76" s="121">
        <f t="shared" si="26"/>
        <v>0.18600000000000003</v>
      </c>
      <c r="I76" s="4"/>
    </row>
    <row r="77" spans="1:9" x14ac:dyDescent="0.2">
      <c r="A77" s="29" t="s">
        <v>4</v>
      </c>
      <c r="B77" s="46">
        <v>0</v>
      </c>
      <c r="C77" s="121">
        <v>0</v>
      </c>
      <c r="D77" s="121">
        <v>0</v>
      </c>
      <c r="E77" s="46">
        <v>0</v>
      </c>
      <c r="F77" s="46">
        <v>0</v>
      </c>
      <c r="G77" s="46">
        <v>0</v>
      </c>
      <c r="H77" s="46">
        <v>0</v>
      </c>
      <c r="I77" s="4"/>
    </row>
    <row r="78" spans="1:9" x14ac:dyDescent="0.2">
      <c r="A78" s="29" t="s">
        <v>70</v>
      </c>
      <c r="B78" s="46">
        <v>0</v>
      </c>
      <c r="C78" s="121">
        <f>ROUND(100*($B$68-C68)/$B$68,1)/100</f>
        <v>0.109</v>
      </c>
      <c r="D78" s="121">
        <f>ROUND(100*($B$68-D68)/$B$68,1)/100</f>
        <v>0</v>
      </c>
      <c r="E78" s="121">
        <f t="shared" ref="E78:H78" si="27">ROUND(100*($B$68-E68)/$B$68,1)/100</f>
        <v>0.11900000000000001</v>
      </c>
      <c r="F78" s="121">
        <f t="shared" si="27"/>
        <v>0.23699999999999999</v>
      </c>
      <c r="G78" s="121">
        <f t="shared" si="27"/>
        <v>0.221</v>
      </c>
      <c r="H78" s="121">
        <f t="shared" si="27"/>
        <v>0.161</v>
      </c>
      <c r="I78" s="4"/>
    </row>
    <row r="79" spans="1:9" x14ac:dyDescent="0.2">
      <c r="A79" s="138" t="s">
        <v>178</v>
      </c>
      <c r="B79" s="139">
        <f>B68/$B$22</f>
        <v>254.16666666666666</v>
      </c>
      <c r="C79" s="139">
        <f t="shared" ref="C79:H79" si="28">C68/$B$22</f>
        <v>226.58333333333334</v>
      </c>
      <c r="D79" s="139">
        <f t="shared" si="28"/>
        <v>254.16666666666666</v>
      </c>
      <c r="E79" s="139">
        <f t="shared" si="28"/>
        <v>223.83333333333334</v>
      </c>
      <c r="F79" s="139">
        <f t="shared" si="28"/>
        <v>193.83333333333334</v>
      </c>
      <c r="G79" s="139">
        <f t="shared" si="28"/>
        <v>198</v>
      </c>
      <c r="H79" s="139">
        <f t="shared" si="28"/>
        <v>213.16666666666666</v>
      </c>
      <c r="I79" s="4"/>
    </row>
    <row r="80" spans="1:9" x14ac:dyDescent="0.2">
      <c r="A80" s="1"/>
      <c r="B80" s="4"/>
      <c r="C80" s="4"/>
      <c r="D80" s="4"/>
      <c r="E80" s="4"/>
      <c r="F80" s="4"/>
      <c r="G80" s="4"/>
      <c r="H80" s="4"/>
    </row>
    <row r="81" spans="2:16" x14ac:dyDescent="0.2">
      <c r="D81" s="6"/>
      <c r="E81" s="6"/>
      <c r="F81" s="6"/>
      <c r="G81" s="6"/>
      <c r="H81" s="6"/>
      <c r="L81" s="3"/>
    </row>
    <row r="82" spans="2:16" x14ac:dyDescent="0.2">
      <c r="B82" s="58"/>
      <c r="C82" s="49" t="s">
        <v>46</v>
      </c>
      <c r="D82" s="49"/>
      <c r="E82" s="49"/>
      <c r="F82" s="59"/>
      <c r="G82" s="60" t="s">
        <v>47</v>
      </c>
      <c r="H82" s="49"/>
      <c r="I82" s="50"/>
    </row>
    <row r="83" spans="2:16" x14ac:dyDescent="0.2">
      <c r="B83" s="61"/>
      <c r="C83" t="s">
        <v>48</v>
      </c>
      <c r="F83" s="62"/>
      <c r="G83" t="s">
        <v>49</v>
      </c>
      <c r="I83" s="53"/>
    </row>
    <row r="84" spans="2:16" x14ac:dyDescent="0.2">
      <c r="B84" s="63"/>
      <c r="C84" t="s">
        <v>50</v>
      </c>
      <c r="F84" s="64"/>
      <c r="G84" t="s">
        <v>51</v>
      </c>
      <c r="I84" s="53"/>
    </row>
    <row r="85" spans="2:16" x14ac:dyDescent="0.2">
      <c r="B85" s="65"/>
      <c r="C85" s="56" t="s">
        <v>52</v>
      </c>
      <c r="D85" s="56"/>
      <c r="E85" s="56"/>
      <c r="F85" s="56"/>
      <c r="G85" s="56"/>
      <c r="H85" s="56"/>
      <c r="I85" s="57"/>
    </row>
    <row r="87" spans="2:16" x14ac:dyDescent="0.2">
      <c r="B87" s="112"/>
      <c r="C87" s="48" t="s">
        <v>60</v>
      </c>
      <c r="D87" s="49"/>
      <c r="E87" s="49"/>
      <c r="F87" s="50"/>
      <c r="P87" s="103"/>
    </row>
    <row r="88" spans="2:16" x14ac:dyDescent="0.2">
      <c r="B88" s="51" t="s">
        <v>56</v>
      </c>
      <c r="C88" s="52" t="s">
        <v>58</v>
      </c>
      <c r="F88" s="53"/>
    </row>
    <row r="89" spans="2:16" x14ac:dyDescent="0.2">
      <c r="B89" s="54" t="s">
        <v>57</v>
      </c>
      <c r="C89" s="55" t="s">
        <v>59</v>
      </c>
      <c r="D89" s="56"/>
      <c r="E89" s="56"/>
      <c r="F89" s="57"/>
    </row>
    <row r="91" spans="2:16" x14ac:dyDescent="0.2">
      <c r="B91" t="s">
        <v>179</v>
      </c>
    </row>
    <row r="93" spans="2:16" x14ac:dyDescent="0.2">
      <c r="B93" s="140" t="s">
        <v>180</v>
      </c>
      <c r="C93" s="141" t="s">
        <v>180</v>
      </c>
      <c r="D93" s="142" t="s">
        <v>181</v>
      </c>
      <c r="E93" s="143" t="s">
        <v>181</v>
      </c>
      <c r="F93" s="144" t="s">
        <v>182</v>
      </c>
    </row>
    <row r="94" spans="2:16" x14ac:dyDescent="0.2">
      <c r="B94" s="145"/>
      <c r="C94" s="141" t="s">
        <v>183</v>
      </c>
      <c r="D94" s="142"/>
      <c r="E94" s="143" t="s">
        <v>184</v>
      </c>
      <c r="F94" s="137"/>
    </row>
  </sheetData>
  <sheetProtection algorithmName="SHA-512" hashValue="oluB8G7MAzVF8esS9s/Rdoh3ZRs/Sj7kcfUlp8E83i0jhk4/UKVKoBO1arNnYMEh5EcOH7SaL2htx9XUn9jd2g==" saltValue="EYBZ7omaXLm7eaH3A8Nn/Q==" spinCount="100000" sheet="1" objects="1" scenarios="1" selectLockedCells="1"/>
  <conditionalFormatting sqref="B6:B12">
    <cfRule type="cellIs" dxfId="27" priority="124" stopIfTrue="1" operator="notBetween">
      <formula>0</formula>
      <formula>100000</formula>
    </cfRule>
  </conditionalFormatting>
  <conditionalFormatting sqref="B13">
    <cfRule type="cellIs" dxfId="26" priority="14" operator="notBetween">
      <formula>0.5</formula>
      <formula>1</formula>
    </cfRule>
  </conditionalFormatting>
  <conditionalFormatting sqref="B14">
    <cfRule type="cellIs" dxfId="25" priority="51" stopIfTrue="1" operator="notBetween">
      <formula>0</formula>
      <formula>10</formula>
    </cfRule>
  </conditionalFormatting>
  <conditionalFormatting sqref="B15">
    <cfRule type="cellIs" dxfId="24" priority="19" operator="notBetween">
      <formula>3</formula>
      <formula>100</formula>
    </cfRule>
  </conditionalFormatting>
  <conditionalFormatting sqref="B16">
    <cfRule type="cellIs" dxfId="23" priority="12" stopIfTrue="1" operator="notBetween">
      <formula>10</formula>
      <formula>1000</formula>
    </cfRule>
  </conditionalFormatting>
  <conditionalFormatting sqref="B17">
    <cfRule type="cellIs" dxfId="22" priority="11" stopIfTrue="1" operator="notBetween">
      <formula>150</formula>
      <formula>1000</formula>
    </cfRule>
  </conditionalFormatting>
  <conditionalFormatting sqref="B18:B19">
    <cfRule type="cellIs" dxfId="21" priority="84" stopIfTrue="1" operator="notBetween">
      <formula>10</formula>
      <formula>200</formula>
    </cfRule>
  </conditionalFormatting>
  <conditionalFormatting sqref="B20">
    <cfRule type="cellIs" dxfId="0" priority="83" stopIfTrue="1" operator="notBetween">
      <formula>500</formula>
      <formula>1500</formula>
    </cfRule>
  </conditionalFormatting>
  <conditionalFormatting sqref="B21">
    <cfRule type="cellIs" dxfId="20" priority="7" operator="notBetween">
      <formula>0</formula>
      <formula>10</formula>
    </cfRule>
  </conditionalFormatting>
  <conditionalFormatting sqref="B22">
    <cfRule type="cellIs" dxfId="19" priority="1" operator="notBetween">
      <formula>10</formula>
      <formula>1000</formula>
    </cfRule>
  </conditionalFormatting>
  <conditionalFormatting sqref="B23">
    <cfRule type="cellIs" dxfId="18" priority="82" stopIfTrue="1" operator="notBetween">
      <formula>1000</formula>
      <formula>10000</formula>
    </cfRule>
  </conditionalFormatting>
  <conditionalFormatting sqref="B87">
    <cfRule type="cellIs" dxfId="17" priority="17" stopIfTrue="1" operator="notBetween">
      <formula>60</formula>
      <formula>140</formula>
    </cfRule>
  </conditionalFormatting>
  <conditionalFormatting sqref="B57:H57">
    <cfRule type="cellIs" dxfId="16" priority="22" operator="lessThan">
      <formula>0</formula>
    </cfRule>
    <cfRule type="cellIs" dxfId="15" priority="23" stopIfTrue="1" operator="lessThanOrEqual">
      <formula>5000</formula>
    </cfRule>
  </conditionalFormatting>
  <conditionalFormatting sqref="B72:H72">
    <cfRule type="cellIs" dxfId="14" priority="92" operator="lessThanOrEqual">
      <formula>1500</formula>
    </cfRule>
    <cfRule type="cellIs" dxfId="13" priority="93" operator="greaterThan">
      <formula>$B$72</formula>
    </cfRule>
  </conditionalFormatting>
  <conditionalFormatting sqref="B73:H73">
    <cfRule type="cellIs" dxfId="12" priority="44" stopIfTrue="1" operator="greaterThanOrEqual">
      <formula>5000</formula>
    </cfRule>
  </conditionalFormatting>
  <conditionalFormatting sqref="B75:H75">
    <cfRule type="cellIs" dxfId="11" priority="98" operator="lessThanOrEqual">
      <formula>2</formula>
    </cfRule>
    <cfRule type="cellIs" dxfId="10" priority="99" operator="greaterThan">
      <formula>$B$75</formula>
    </cfRule>
  </conditionalFormatting>
  <conditionalFormatting sqref="B79:H79">
    <cfRule type="cellIs" dxfId="9" priority="2" operator="greaterThan">
      <formula>220</formula>
    </cfRule>
    <cfRule type="cellIs" dxfId="8" priority="3" operator="between">
      <formula>180</formula>
      <formula>220</formula>
    </cfRule>
    <cfRule type="cellIs" dxfId="7" priority="4" operator="between">
      <formula>100</formula>
      <formula>180</formula>
    </cfRule>
    <cfRule type="cellIs" dxfId="6" priority="5" operator="between">
      <formula>80</formula>
      <formula>100</formula>
    </cfRule>
    <cfRule type="cellIs" dxfId="5" priority="6" operator="lessThan">
      <formula>80</formula>
    </cfRule>
  </conditionalFormatting>
  <conditionalFormatting sqref="B76:I76 C78:H78">
    <cfRule type="cellIs" dxfId="4" priority="36" stopIfTrue="1" operator="greaterThanOrEqual">
      <formula>0.5</formula>
    </cfRule>
  </conditionalFormatting>
  <conditionalFormatting sqref="B77:I77 B78 I78:I79 B80:H80">
    <cfRule type="cellIs" dxfId="3" priority="35" stopIfTrue="1" operator="greaterThanOrEqual">
      <formula>0.5</formula>
    </cfRule>
  </conditionalFormatting>
  <conditionalFormatting sqref="C74:H74">
    <cfRule type="expression" dxfId="2" priority="131">
      <formula>OR(IF(C$57&gt;0,C$74&lt;=10,C$74&gt;30),C$73="sofort")</formula>
    </cfRule>
    <cfRule type="expression" dxfId="1" priority="132" stopIfTrue="1">
      <formula>C$57&lt;0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62"/>
  <sheetViews>
    <sheetView workbookViewId="0">
      <selection activeCell="B12" sqref="B12"/>
    </sheetView>
  </sheetViews>
  <sheetFormatPr baseColWidth="10" defaultRowHeight="12.75" x14ac:dyDescent="0.2"/>
  <sheetData>
    <row r="1" spans="1:5" x14ac:dyDescent="0.2">
      <c r="A1" s="52" t="s">
        <v>110</v>
      </c>
      <c r="E1" s="52" t="s">
        <v>105</v>
      </c>
    </row>
    <row r="3" spans="1:5" x14ac:dyDescent="0.2">
      <c r="A3" s="52" t="s">
        <v>109</v>
      </c>
      <c r="B3">
        <f>'Haustechnikvarianten berechnen'!C34</f>
        <v>3</v>
      </c>
      <c r="E3">
        <f>'Haustechnikvarianten berechnen'!E34</f>
        <v>3</v>
      </c>
    </row>
    <row r="4" spans="1:5" x14ac:dyDescent="0.2">
      <c r="A4" s="52" t="s">
        <v>118</v>
      </c>
      <c r="B4" s="106">
        <f>'Haustechnikvarianten berechnen'!C35/1.1</f>
        <v>1</v>
      </c>
      <c r="E4" s="106">
        <f>'Haustechnikvarianten berechnen'!E35/1.1</f>
        <v>1</v>
      </c>
    </row>
    <row r="5" spans="1:5" x14ac:dyDescent="0.2">
      <c r="A5" s="52" t="s">
        <v>121</v>
      </c>
      <c r="B5" s="106">
        <f>'Haustechnikvarianten berechnen'!B20</f>
        <v>1000</v>
      </c>
      <c r="E5" s="106">
        <f>B5</f>
        <v>1000</v>
      </c>
    </row>
    <row r="6" spans="1:5" x14ac:dyDescent="0.2">
      <c r="A6" s="52" t="s">
        <v>123</v>
      </c>
      <c r="B6" s="106">
        <f>'Haustechnikvarianten berechnen'!B11</f>
        <v>4600</v>
      </c>
      <c r="E6" s="106">
        <f>B6</f>
        <v>4600</v>
      </c>
    </row>
    <row r="7" spans="1:5" x14ac:dyDescent="0.2">
      <c r="A7" s="52" t="s">
        <v>161</v>
      </c>
      <c r="B7" s="106">
        <f>'Haustechnikvarianten berechnen'!$B$12</f>
        <v>3000</v>
      </c>
      <c r="E7" s="106">
        <f>B7</f>
        <v>3000</v>
      </c>
    </row>
    <row r="8" spans="1:5" x14ac:dyDescent="0.2">
      <c r="A8" s="52" t="s">
        <v>162</v>
      </c>
      <c r="B8" s="106">
        <f>B6-B7</f>
        <v>1600</v>
      </c>
      <c r="E8" s="106">
        <f>B8</f>
        <v>1600</v>
      </c>
    </row>
    <row r="9" spans="1:5" x14ac:dyDescent="0.2">
      <c r="A9" s="52" t="s">
        <v>111</v>
      </c>
      <c r="B9">
        <f>10*ROUND((10*B3+340)/10,0)</f>
        <v>370</v>
      </c>
      <c r="E9">
        <f>10*ROUND(1.3*(10*E3+340)/10,0)</f>
        <v>480</v>
      </c>
    </row>
    <row r="10" spans="1:5" x14ac:dyDescent="0.2">
      <c r="A10" s="52" t="s">
        <v>112</v>
      </c>
      <c r="B10">
        <f>10*ROUND(B3*B4*B5/1000*B9/10,0)</f>
        <v>1110</v>
      </c>
      <c r="E10">
        <f>10*ROUND(E3*E4*E5/1000*E9/10,0)</f>
        <v>1440</v>
      </c>
    </row>
    <row r="11" spans="1:5" x14ac:dyDescent="0.2">
      <c r="A11" s="52" t="s">
        <v>163</v>
      </c>
      <c r="B11">
        <f>IF(B6=0,0,10*ROUND(B8*(1+0.77*B7/B6)/10,0))</f>
        <v>2400</v>
      </c>
      <c r="E11">
        <f>B11</f>
        <v>2400</v>
      </c>
    </row>
    <row r="12" spans="1:5" x14ac:dyDescent="0.2">
      <c r="A12" s="52" t="s">
        <v>122</v>
      </c>
      <c r="B12">
        <f>IF(B10&gt;0.7*B11,B11*0.7,B10)</f>
        <v>1110</v>
      </c>
      <c r="E12">
        <f>IF(E10&gt;0.7*E11,E11*0.7,E10)</f>
        <v>1440</v>
      </c>
    </row>
    <row r="13" spans="1:5" x14ac:dyDescent="0.2">
      <c r="A13" s="52" t="s">
        <v>165</v>
      </c>
      <c r="B13">
        <f>10*ROUND((B6-B11+B12)/10,0)</f>
        <v>3310</v>
      </c>
      <c r="E13">
        <f>10*ROUND((E6-E11+E12)/10,0)</f>
        <v>3640</v>
      </c>
    </row>
    <row r="14" spans="1:5" x14ac:dyDescent="0.2">
      <c r="A14" s="52"/>
    </row>
    <row r="17" spans="1:5" x14ac:dyDescent="0.2">
      <c r="A17" s="52" t="s">
        <v>124</v>
      </c>
      <c r="E17" s="52" t="s">
        <v>105</v>
      </c>
    </row>
    <row r="19" spans="1:5" x14ac:dyDescent="0.2">
      <c r="A19" s="52" t="s">
        <v>109</v>
      </c>
      <c r="C19">
        <f>'Haustechnikvarianten berechnen'!F34</f>
        <v>12</v>
      </c>
      <c r="E19">
        <f>'Haustechnikvarianten berechnen'!G34</f>
        <v>9</v>
      </c>
    </row>
    <row r="20" spans="1:5" x14ac:dyDescent="0.2">
      <c r="A20" s="52" t="s">
        <v>118</v>
      </c>
      <c r="C20" s="4">
        <f>'Haustechnikvarianten berechnen'!F35/1.1</f>
        <v>1</v>
      </c>
      <c r="E20" s="4">
        <f>'Haustechnikvarianten berechnen'!G35/1.1</f>
        <v>1</v>
      </c>
    </row>
    <row r="21" spans="1:5" x14ac:dyDescent="0.2">
      <c r="A21" s="52" t="s">
        <v>121</v>
      </c>
      <c r="C21" s="106">
        <f>B5</f>
        <v>1000</v>
      </c>
      <c r="E21" s="106">
        <f>C21</f>
        <v>1000</v>
      </c>
    </row>
    <row r="22" spans="1:5" x14ac:dyDescent="0.2">
      <c r="A22" s="52" t="s">
        <v>123</v>
      </c>
      <c r="C22" s="106">
        <f>B6</f>
        <v>4600</v>
      </c>
      <c r="E22" s="106">
        <f>C22</f>
        <v>4600</v>
      </c>
    </row>
    <row r="23" spans="1:5" x14ac:dyDescent="0.2">
      <c r="A23" s="52" t="s">
        <v>161</v>
      </c>
      <c r="C23" s="106">
        <f>B7</f>
        <v>3000</v>
      </c>
      <c r="E23" s="106">
        <f>B7</f>
        <v>3000</v>
      </c>
    </row>
    <row r="24" spans="1:5" x14ac:dyDescent="0.2">
      <c r="A24" s="52" t="s">
        <v>162</v>
      </c>
      <c r="B24" s="106"/>
      <c r="C24" s="106">
        <f>B8</f>
        <v>1600</v>
      </c>
      <c r="E24" s="106">
        <f>B8</f>
        <v>1600</v>
      </c>
    </row>
    <row r="25" spans="1:5" x14ac:dyDescent="0.2">
      <c r="A25" s="52" t="s">
        <v>128</v>
      </c>
      <c r="C25" s="106">
        <f>'Haustechnikvarianten berechnen'!B58</f>
        <v>17520</v>
      </c>
      <c r="E25" s="106">
        <f>C25</f>
        <v>17520</v>
      </c>
    </row>
    <row r="26" spans="1:5" x14ac:dyDescent="0.2">
      <c r="A26" s="52" t="s">
        <v>125</v>
      </c>
      <c r="C26">
        <f>'Haustechnikvarianten berechnen'!F36</f>
        <v>35</v>
      </c>
      <c r="E26">
        <f>'Haustechnikvarianten berechnen'!G36</f>
        <v>35</v>
      </c>
    </row>
    <row r="27" spans="1:5" x14ac:dyDescent="0.2">
      <c r="A27" s="52" t="s">
        <v>111</v>
      </c>
      <c r="C27">
        <f>IF(C19&lt;=12,360,10*ROUND((400 -90*C19/27)/10,0))</f>
        <v>360</v>
      </c>
      <c r="E27">
        <f>IF(E19&lt;=12,360,10*ROUND((400 -90*E19/27)/10,0))</f>
        <v>360</v>
      </c>
    </row>
    <row r="28" spans="1:5" x14ac:dyDescent="0.2">
      <c r="A28" s="52" t="s">
        <v>142</v>
      </c>
      <c r="C28">
        <f>IF(C22&gt;=3200,IF(C19&lt;20,10*ROUND((C27-30+0.01875*C22)/10,0),C27),C27)</f>
        <v>420</v>
      </c>
      <c r="E28">
        <f>IF(E22&gt;=3200,IF(E19&lt;20,10*ROUND((E27-30+0.01875*E22)/10,0),E27),E27)</f>
        <v>420</v>
      </c>
    </row>
    <row r="29" spans="1:5" x14ac:dyDescent="0.2">
      <c r="A29" s="52" t="s">
        <v>143</v>
      </c>
      <c r="C29">
        <f>IF(C25&lt;5000,10*ROUND((C27-26.666+2.222*C19)/10,0),C28)</f>
        <v>420</v>
      </c>
      <c r="E29">
        <f>IF(E25&lt;5000,10*ROUND((E27-26.666+2.222*E19)/10,0),E28)</f>
        <v>420</v>
      </c>
    </row>
    <row r="30" spans="1:5" x14ac:dyDescent="0.2">
      <c r="A30" s="52" t="s">
        <v>140</v>
      </c>
      <c r="C30">
        <f>10*ROUND((-1.428*C26+C29+50)/10,0)</f>
        <v>420</v>
      </c>
      <c r="E30">
        <f>10*ROUND((-1.428*E26+E29+50)/10,0)</f>
        <v>420</v>
      </c>
    </row>
    <row r="31" spans="1:5" x14ac:dyDescent="0.2">
      <c r="A31" s="52" t="s">
        <v>112</v>
      </c>
      <c r="C31">
        <f>10*ROUND(C19*C20*C21/1000*C30/10,0)</f>
        <v>5040</v>
      </c>
      <c r="E31">
        <f>10*ROUND(1.2*E19*E20*E21/1000*E30/10,0)</f>
        <v>4540</v>
      </c>
    </row>
    <row r="32" spans="1:5" x14ac:dyDescent="0.2">
      <c r="A32" s="52" t="s">
        <v>164</v>
      </c>
      <c r="C32">
        <f>B11</f>
        <v>2400</v>
      </c>
      <c r="E32">
        <f>B11</f>
        <v>2400</v>
      </c>
    </row>
    <row r="33" spans="1:5" x14ac:dyDescent="0.2">
      <c r="A33" s="52" t="s">
        <v>122</v>
      </c>
      <c r="C33">
        <f>IF(C31&gt;0.9*(C32+C25),0.9*(C32+C25),C31)</f>
        <v>5040</v>
      </c>
      <c r="E33">
        <f>IF(E31&gt;0.9*(E32+E25),0.9*(E32+E25),E31)</f>
        <v>4540</v>
      </c>
    </row>
    <row r="34" spans="1:5" x14ac:dyDescent="0.2">
      <c r="A34" s="52" t="s">
        <v>165</v>
      </c>
      <c r="C34">
        <f>10*ROUND((C22-C32+C33)/10,0)</f>
        <v>7240</v>
      </c>
      <c r="E34">
        <f>10*ROUND((E22-E32+E33)/10,0)</f>
        <v>6740</v>
      </c>
    </row>
    <row r="35" spans="1:5" x14ac:dyDescent="0.2">
      <c r="A35" s="52"/>
    </row>
    <row r="37" spans="1:5" x14ac:dyDescent="0.2">
      <c r="A37" s="52" t="s">
        <v>108</v>
      </c>
    </row>
    <row r="39" spans="1:5" x14ac:dyDescent="0.2">
      <c r="A39" s="52" t="s">
        <v>109</v>
      </c>
      <c r="C39">
        <f>'Haustechnikvarianten berechnen'!H34</f>
        <v>12</v>
      </c>
    </row>
    <row r="40" spans="1:5" x14ac:dyDescent="0.2">
      <c r="A40" s="52" t="s">
        <v>118</v>
      </c>
      <c r="C40" s="4">
        <f>'Haustechnikvarianten berechnen'!H35/1.1</f>
        <v>1</v>
      </c>
    </row>
    <row r="41" spans="1:5" x14ac:dyDescent="0.2">
      <c r="A41" s="52" t="s">
        <v>121</v>
      </c>
      <c r="C41" s="106">
        <f>C21</f>
        <v>1000</v>
      </c>
    </row>
    <row r="42" spans="1:5" x14ac:dyDescent="0.2">
      <c r="A42" s="52" t="s">
        <v>128</v>
      </c>
      <c r="C42" s="106">
        <f>C25</f>
        <v>17520</v>
      </c>
    </row>
    <row r="43" spans="1:5" x14ac:dyDescent="0.2">
      <c r="A43" s="52" t="s">
        <v>111</v>
      </c>
      <c r="C43">
        <f>IF(C42&gt;=18100,440,IF(C42&gt;=11000,10*ROUND((440-80*(11300/C42)^2)/10,0),370))</f>
        <v>410</v>
      </c>
    </row>
    <row r="44" spans="1:5" x14ac:dyDescent="0.2">
      <c r="A44" s="52" t="s">
        <v>112</v>
      </c>
      <c r="C44">
        <f>10*ROUND(C39*C40*C41/1000*C43/10,0)</f>
        <v>4920</v>
      </c>
    </row>
    <row r="45" spans="1:5" x14ac:dyDescent="0.2">
      <c r="A45" s="52" t="s">
        <v>122</v>
      </c>
      <c r="C45">
        <f>IF(C44&gt;C42,C42,C44)</f>
        <v>4920</v>
      </c>
    </row>
    <row r="46" spans="1:5" x14ac:dyDescent="0.2">
      <c r="A46" s="52" t="s">
        <v>165</v>
      </c>
      <c r="C46">
        <f>C45</f>
        <v>4920</v>
      </c>
    </row>
    <row r="48" spans="1:5" x14ac:dyDescent="0.2">
      <c r="A48" t="s">
        <v>126</v>
      </c>
    </row>
    <row r="49" spans="1:8" x14ac:dyDescent="0.2">
      <c r="A49" t="s">
        <v>127</v>
      </c>
      <c r="C49">
        <v>1600</v>
      </c>
      <c r="D49">
        <v>3200</v>
      </c>
      <c r="E49">
        <v>0</v>
      </c>
      <c r="H49" s="120">
        <v>3200</v>
      </c>
    </row>
    <row r="50" spans="1:8" x14ac:dyDescent="0.2">
      <c r="A50" t="s">
        <v>128</v>
      </c>
      <c r="C50">
        <v>18100</v>
      </c>
      <c r="D50">
        <v>11300</v>
      </c>
      <c r="E50">
        <v>1800</v>
      </c>
      <c r="F50">
        <v>0</v>
      </c>
      <c r="H50" s="120">
        <v>11000</v>
      </c>
    </row>
    <row r="51" spans="1:8" x14ac:dyDescent="0.2">
      <c r="A51" t="s">
        <v>129</v>
      </c>
      <c r="C51">
        <v>35</v>
      </c>
      <c r="D51">
        <v>70</v>
      </c>
      <c r="H51" s="120">
        <v>35</v>
      </c>
    </row>
    <row r="52" spans="1:8" x14ac:dyDescent="0.2">
      <c r="A52" t="s">
        <v>130</v>
      </c>
      <c r="C52" t="s">
        <v>131</v>
      </c>
      <c r="D52" t="s">
        <v>132</v>
      </c>
      <c r="E52" t="s">
        <v>133</v>
      </c>
    </row>
    <row r="53" spans="1:8" x14ac:dyDescent="0.2">
      <c r="A53" t="s">
        <v>109</v>
      </c>
      <c r="C53">
        <v>3</v>
      </c>
      <c r="D53">
        <v>6</v>
      </c>
      <c r="E53">
        <v>12</v>
      </c>
      <c r="F53">
        <v>21</v>
      </c>
      <c r="G53">
        <v>39</v>
      </c>
      <c r="H53" s="120">
        <v>3</v>
      </c>
    </row>
    <row r="55" spans="1:8" x14ac:dyDescent="0.2">
      <c r="A55" t="s">
        <v>134</v>
      </c>
    </row>
    <row r="56" spans="1:8" x14ac:dyDescent="0.2">
      <c r="A56" t="s">
        <v>135</v>
      </c>
      <c r="C56" t="s">
        <v>136</v>
      </c>
      <c r="E56">
        <f>IF(H50&gt;=18100,440,IF(H50&gt;=11000,10*ROUND((440-80*(11300/H50)^2)/10,0),370))</f>
        <v>360</v>
      </c>
    </row>
    <row r="57" spans="1:8" x14ac:dyDescent="0.2">
      <c r="C57" t="s">
        <v>137</v>
      </c>
      <c r="E57">
        <f>IF(H53&lt;=12,360,10*ROUND((400 -90*H53/27)/10,0))</f>
        <v>360</v>
      </c>
    </row>
    <row r="58" spans="1:8" x14ac:dyDescent="0.2">
      <c r="C58" t="s">
        <v>138</v>
      </c>
      <c r="E58">
        <f>IF(H49&gt;=3200,IF(H53&lt;20,10*ROUND((E57-30+0.01875*H49)/10,0),E57),E57)</f>
        <v>390</v>
      </c>
    </row>
    <row r="59" spans="1:8" x14ac:dyDescent="0.2">
      <c r="C59" t="s">
        <v>139</v>
      </c>
      <c r="E59">
        <f>IF(H50&lt;5000,10*ROUND((E57-26.666+2.222*H53)/10,0),E58)</f>
        <v>390</v>
      </c>
    </row>
    <row r="60" spans="1:8" x14ac:dyDescent="0.2">
      <c r="C60" t="s">
        <v>140</v>
      </c>
      <c r="E60">
        <f>10*ROUND((-1.428*H51+E59+50)/10,0)</f>
        <v>390</v>
      </c>
    </row>
    <row r="61" spans="1:8" x14ac:dyDescent="0.2">
      <c r="C61" t="s">
        <v>132</v>
      </c>
      <c r="E61">
        <f>10*ROUND(1.19*E60/10,0)</f>
        <v>460</v>
      </c>
    </row>
    <row r="62" spans="1:8" x14ac:dyDescent="0.2">
      <c r="C62" t="s">
        <v>141</v>
      </c>
      <c r="E62">
        <f>10*ROUND((10*H53+340)/10,0)</f>
        <v>370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2023-11-24T13:28:58Z</cp:lastPrinted>
  <dcterms:created xsi:type="dcterms:W3CDTF">2017-07-13T22:33:43Z</dcterms:created>
  <dcterms:modified xsi:type="dcterms:W3CDTF">2024-02-18T12:15:04Z</dcterms:modified>
</cp:coreProperties>
</file>