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Datensammlung\Kleine Festplatte\Johannes\Bücher\Strom und Wärme\interaktive Tabellen\"/>
    </mc:Choice>
  </mc:AlternateContent>
  <xr:revisionPtr revIDLastSave="0" documentId="8_{CD6F1716-BC2A-4502-969E-1D51A0CEABEA}" xr6:coauthVersionLast="47" xr6:coauthVersionMax="47" xr10:uidLastSave="{00000000-0000-0000-0000-000000000000}"/>
  <workbookProtection workbookAlgorithmName="SHA-512" workbookHashValue="RacyqGbEGmT0RBN9ITKyAJVr1gYGlZ70nHFEr1FiVUDWpaqElIzsYtYCrEwcATbuCMkC1XGvZ2npmmRGOu/U6g==" workbookSaltValue="Gn4lBv+kY2z8gFeJyDQwqw==" workbookSpinCount="100000" lockStructure="1"/>
  <bookViews>
    <workbookView xWindow="-120" yWindow="-120" windowWidth="19440" windowHeight="15000" xr2:uid="{00000000-000D-0000-FFFF-FFFF00000000}"/>
  </bookViews>
  <sheets>
    <sheet name="Haustechnikvarianten gesamt" sheetId="1" r:id="rId1"/>
    <sheet name="Haustechnikvarianten berechnen" sheetId="4" r:id="rId2"/>
    <sheet name="Berechnung" sheetId="5" state="hidden" r:id="rId3"/>
    <sheet name="Tabelle2" sheetId="2" r:id="rId4"/>
    <sheet name="Tabelle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4" l="1"/>
  <c r="D22" i="4"/>
  <c r="D20" i="4"/>
  <c r="D19" i="4"/>
  <c r="D18" i="4"/>
  <c r="D8" i="4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B70" i="1"/>
  <c r="C85" i="4"/>
  <c r="D85" i="4"/>
  <c r="E85" i="4"/>
  <c r="F85" i="4"/>
  <c r="G85" i="4"/>
  <c r="H85" i="4"/>
  <c r="I85" i="4"/>
  <c r="B85" i="4"/>
  <c r="C55" i="4"/>
  <c r="C56" i="4" s="1"/>
  <c r="S62" i="1"/>
  <c r="K62" i="1"/>
  <c r="C62" i="1"/>
  <c r="C76" i="4"/>
  <c r="E62" i="1"/>
  <c r="F62" i="1"/>
  <c r="G62" i="1"/>
  <c r="H62" i="1"/>
  <c r="I62" i="1"/>
  <c r="D62" i="1"/>
  <c r="C119" i="5" l="1"/>
  <c r="C121" i="5" s="1"/>
  <c r="G34" i="4"/>
  <c r="G35" i="4"/>
  <c r="G42" i="4"/>
  <c r="G46" i="4"/>
  <c r="F57" i="4"/>
  <c r="G57" i="4"/>
  <c r="F76" i="4"/>
  <c r="G76" i="4"/>
  <c r="S58" i="1"/>
  <c r="T58" i="1" s="1"/>
  <c r="S52" i="1"/>
  <c r="T52" i="1" s="1"/>
  <c r="S51" i="1"/>
  <c r="T51" i="1" s="1"/>
  <c r="T48" i="1"/>
  <c r="S48" i="1"/>
  <c r="T44" i="1"/>
  <c r="T49" i="1" s="1"/>
  <c r="T50" i="1" s="1"/>
  <c r="S44" i="1"/>
  <c r="S49" i="1" s="1"/>
  <c r="S50" i="1" s="1"/>
  <c r="K58" i="1"/>
  <c r="K52" i="1"/>
  <c r="L52" i="1" s="1"/>
  <c r="M52" i="1" s="1"/>
  <c r="N52" i="1" s="1"/>
  <c r="O52" i="1" s="1"/>
  <c r="P52" i="1" s="1"/>
  <c r="Q52" i="1" s="1"/>
  <c r="K51" i="1"/>
  <c r="L51" i="1" s="1"/>
  <c r="M51" i="1" s="1"/>
  <c r="N51" i="1" s="1"/>
  <c r="O51" i="1" s="1"/>
  <c r="P51" i="1" s="1"/>
  <c r="Q51" i="1" s="1"/>
  <c r="K48" i="1"/>
  <c r="Q44" i="1"/>
  <c r="P44" i="1"/>
  <c r="O44" i="1"/>
  <c r="N44" i="1"/>
  <c r="M44" i="1"/>
  <c r="L44" i="1"/>
  <c r="K44" i="1"/>
  <c r="K49" i="1" s="1"/>
  <c r="K50" i="1" s="1"/>
  <c r="R44" i="1"/>
  <c r="R49" i="1"/>
  <c r="R63" i="1"/>
  <c r="C48" i="1"/>
  <c r="D44" i="1"/>
  <c r="E44" i="1"/>
  <c r="F44" i="1"/>
  <c r="G44" i="1"/>
  <c r="H44" i="1"/>
  <c r="I44" i="1"/>
  <c r="C44" i="1"/>
  <c r="C144" i="5"/>
  <c r="G137" i="5"/>
  <c r="C131" i="5"/>
  <c r="G131" i="5"/>
  <c r="C117" i="5"/>
  <c r="C126" i="5" s="1"/>
  <c r="C109" i="5"/>
  <c r="G98" i="5"/>
  <c r="D46" i="4"/>
  <c r="E46" i="4" s="1"/>
  <c r="E43" i="4"/>
  <c r="E42" i="4"/>
  <c r="C98" i="5"/>
  <c r="C90" i="5"/>
  <c r="C89" i="5"/>
  <c r="G90" i="5"/>
  <c r="G89" i="5"/>
  <c r="E76" i="4"/>
  <c r="K78" i="5"/>
  <c r="D76" i="4"/>
  <c r="G78" i="5"/>
  <c r="C78" i="5"/>
  <c r="C70" i="5"/>
  <c r="G70" i="5" s="1"/>
  <c r="K70" i="5" s="1"/>
  <c r="D35" i="4"/>
  <c r="E35" i="4" s="1"/>
  <c r="D34" i="4"/>
  <c r="E34" i="4" s="1"/>
  <c r="E57" i="4"/>
  <c r="D57" i="4"/>
  <c r="E52" i="4"/>
  <c r="E55" i="4" s="1"/>
  <c r="E56" i="4" s="1"/>
  <c r="I48" i="1" l="1"/>
  <c r="I49" i="1" s="1"/>
  <c r="I50" i="1" s="1"/>
  <c r="H48" i="1"/>
  <c r="H49" i="1" s="1"/>
  <c r="H50" i="1" s="1"/>
  <c r="D48" i="1"/>
  <c r="D49" i="1" s="1"/>
  <c r="D50" i="1" s="1"/>
  <c r="L48" i="1"/>
  <c r="L49" i="1" s="1"/>
  <c r="L50" i="1" s="1"/>
  <c r="M48" i="1"/>
  <c r="M49" i="1" s="1"/>
  <c r="M50" i="1" s="1"/>
  <c r="N48" i="1"/>
  <c r="N49" i="1" s="1"/>
  <c r="N50" i="1" s="1"/>
  <c r="O48" i="1"/>
  <c r="O49" i="1" s="1"/>
  <c r="O50" i="1" s="1"/>
  <c r="P48" i="1"/>
  <c r="P49" i="1" s="1"/>
  <c r="P50" i="1" s="1"/>
  <c r="Q48" i="1"/>
  <c r="Q49" i="1" s="1"/>
  <c r="Q50" i="1" s="1"/>
  <c r="F48" i="1"/>
  <c r="F49" i="1" s="1"/>
  <c r="F50" i="1" s="1"/>
  <c r="F43" i="4"/>
  <c r="G43" i="4" s="1"/>
  <c r="S66" i="1"/>
  <c r="S61" i="1"/>
  <c r="S63" i="1" s="1"/>
  <c r="S60" i="1"/>
  <c r="K60" i="1"/>
  <c r="K66" i="1"/>
  <c r="K61" i="1"/>
  <c r="K63" i="1"/>
  <c r="L58" i="1"/>
  <c r="E59" i="4"/>
  <c r="E60" i="4" s="1"/>
  <c r="E48" i="1" l="1"/>
  <c r="E49" i="1" s="1"/>
  <c r="E50" i="1" s="1"/>
  <c r="G48" i="1"/>
  <c r="G49" i="1" s="1"/>
  <c r="G50" i="1" s="1"/>
  <c r="G52" i="4"/>
  <c r="G55" i="4" s="1"/>
  <c r="G56" i="4" s="1"/>
  <c r="H43" i="4"/>
  <c r="S69" i="1"/>
  <c r="S67" i="1"/>
  <c r="S65" i="1"/>
  <c r="S64" i="1"/>
  <c r="L66" i="1"/>
  <c r="L61" i="1"/>
  <c r="K69" i="1"/>
  <c r="K67" i="1"/>
  <c r="L63" i="1"/>
  <c r="L60" i="1"/>
  <c r="M58" i="1"/>
  <c r="I43" i="4" l="1"/>
  <c r="T66" i="1"/>
  <c r="T61" i="1"/>
  <c r="T63" i="1" s="1"/>
  <c r="T60" i="1"/>
  <c r="M66" i="1"/>
  <c r="M61" i="1"/>
  <c r="L69" i="1"/>
  <c r="L67" i="1"/>
  <c r="M63" i="1"/>
  <c r="M60" i="1"/>
  <c r="N58" i="1"/>
  <c r="G59" i="4" l="1"/>
  <c r="G60" i="4" s="1"/>
  <c r="T69" i="1"/>
  <c r="T67" i="1"/>
  <c r="T64" i="1"/>
  <c r="T65" i="1"/>
  <c r="N66" i="1"/>
  <c r="N61" i="1"/>
  <c r="M67" i="1"/>
  <c r="M69" i="1"/>
  <c r="N63" i="1"/>
  <c r="N60" i="1"/>
  <c r="O58" i="1"/>
  <c r="O66" i="1" l="1"/>
  <c r="O61" i="1"/>
  <c r="N67" i="1"/>
  <c r="N69" i="1"/>
  <c r="O63" i="1"/>
  <c r="O60" i="1"/>
  <c r="P58" i="1"/>
  <c r="P66" i="1" l="1"/>
  <c r="P61" i="1"/>
  <c r="O67" i="1"/>
  <c r="O69" i="1"/>
  <c r="P63" i="1"/>
  <c r="P60" i="1"/>
  <c r="Q58" i="1"/>
  <c r="Q66" i="1" l="1"/>
  <c r="Q61" i="1"/>
  <c r="P67" i="1"/>
  <c r="P69" i="1"/>
  <c r="Q63" i="1"/>
  <c r="Q60" i="1"/>
  <c r="Q67" i="1" l="1"/>
  <c r="Q69" i="1"/>
  <c r="C71" i="4" l="1"/>
  <c r="C70" i="4"/>
  <c r="C69" i="4"/>
  <c r="B7" i="5"/>
  <c r="C113" i="5" l="1"/>
  <c r="H65" i="4" s="1"/>
  <c r="G134" i="5"/>
  <c r="E7" i="5"/>
  <c r="E23" i="5"/>
  <c r="C23" i="5"/>
  <c r="B66" i="1"/>
  <c r="J63" i="1"/>
  <c r="B61" i="1"/>
  <c r="B63" i="1" s="1"/>
  <c r="C58" i="1"/>
  <c r="C52" i="1"/>
  <c r="D52" i="1" s="1"/>
  <c r="E52" i="1" s="1"/>
  <c r="F52" i="1" s="1"/>
  <c r="G52" i="1" s="1"/>
  <c r="H52" i="1" s="1"/>
  <c r="I52" i="1" s="1"/>
  <c r="C51" i="1"/>
  <c r="D51" i="1" s="1"/>
  <c r="E51" i="1" s="1"/>
  <c r="F51" i="1" s="1"/>
  <c r="G51" i="1" s="1"/>
  <c r="H51" i="1" s="1"/>
  <c r="I51" i="1" s="1"/>
  <c r="C49" i="1"/>
  <c r="C50" i="1" s="1"/>
  <c r="C40" i="5"/>
  <c r="E56" i="5"/>
  <c r="E26" i="5"/>
  <c r="E20" i="5"/>
  <c r="C20" i="5"/>
  <c r="E57" i="5"/>
  <c r="C26" i="5"/>
  <c r="C19" i="5"/>
  <c r="E62" i="5"/>
  <c r="E58" i="5"/>
  <c r="E59" i="5" s="1"/>
  <c r="E60" i="5" s="1"/>
  <c r="E61" i="5" s="1"/>
  <c r="E4" i="5"/>
  <c r="E3" i="5"/>
  <c r="B6" i="5"/>
  <c r="B3" i="5"/>
  <c r="C61" i="1" l="1"/>
  <c r="C66" i="1"/>
  <c r="K64" i="1"/>
  <c r="K65" i="1"/>
  <c r="L65" i="1"/>
  <c r="L64" i="1"/>
  <c r="M65" i="1"/>
  <c r="M64" i="1"/>
  <c r="N65" i="1"/>
  <c r="N64" i="1"/>
  <c r="O65" i="1"/>
  <c r="O64" i="1"/>
  <c r="P65" i="1"/>
  <c r="P64" i="1"/>
  <c r="Q65" i="1"/>
  <c r="Q64" i="1"/>
  <c r="B8" i="5"/>
  <c r="C22" i="5"/>
  <c r="G133" i="5" s="1"/>
  <c r="G135" i="5" s="1"/>
  <c r="G145" i="5" s="1"/>
  <c r="E8" i="5"/>
  <c r="E24" i="5"/>
  <c r="C24" i="5"/>
  <c r="C63" i="1"/>
  <c r="D58" i="1"/>
  <c r="C27" i="5"/>
  <c r="E6" i="5"/>
  <c r="E9" i="5"/>
  <c r="C84" i="5" l="1"/>
  <c r="C36" i="4" s="1"/>
  <c r="B11" i="5"/>
  <c r="D66" i="1"/>
  <c r="D61" i="1"/>
  <c r="D60" i="1"/>
  <c r="E11" i="5"/>
  <c r="E32" i="5"/>
  <c r="C32" i="5"/>
  <c r="D63" i="1"/>
  <c r="C64" i="1"/>
  <c r="C65" i="1"/>
  <c r="E58" i="1"/>
  <c r="C28" i="5"/>
  <c r="E22" i="5"/>
  <c r="E66" i="1" l="1"/>
  <c r="E61" i="1"/>
  <c r="E60" i="1"/>
  <c r="E63" i="1"/>
  <c r="D64" i="1"/>
  <c r="D65" i="1"/>
  <c r="F58" i="1"/>
  <c r="B4" i="5"/>
  <c r="C69" i="5" s="1"/>
  <c r="G69" i="5" s="1"/>
  <c r="K69" i="5" s="1"/>
  <c r="B9" i="5"/>
  <c r="B5" i="5"/>
  <c r="C68" i="5" s="1"/>
  <c r="C88" i="5" s="1"/>
  <c r="C108" i="5" s="1"/>
  <c r="D21" i="4"/>
  <c r="D24" i="4"/>
  <c r="C57" i="4"/>
  <c r="D14" i="4"/>
  <c r="B60" i="1"/>
  <c r="B62" i="4"/>
  <c r="C25" i="5" s="1"/>
  <c r="G136" i="5" s="1"/>
  <c r="C130" i="5" l="1"/>
  <c r="G132" i="5" s="1"/>
  <c r="F66" i="1"/>
  <c r="F61" i="1"/>
  <c r="F60" i="1"/>
  <c r="C114" i="5"/>
  <c r="C115" i="5"/>
  <c r="H36" i="4" s="1"/>
  <c r="C91" i="5"/>
  <c r="G88" i="5"/>
  <c r="G91" i="5" s="1"/>
  <c r="C71" i="5"/>
  <c r="G68" i="5"/>
  <c r="D67" i="1"/>
  <c r="E67" i="1"/>
  <c r="D69" i="1"/>
  <c r="E69" i="1"/>
  <c r="C69" i="1"/>
  <c r="C67" i="1"/>
  <c r="F63" i="1"/>
  <c r="E64" i="1"/>
  <c r="E65" i="1"/>
  <c r="G58" i="1"/>
  <c r="C42" i="5"/>
  <c r="C43" i="5" s="1"/>
  <c r="E25" i="5"/>
  <c r="C29" i="5"/>
  <c r="C30" i="5" s="1"/>
  <c r="E5" i="5"/>
  <c r="E10" i="5" s="1"/>
  <c r="C21" i="5"/>
  <c r="C41" i="5" s="1"/>
  <c r="B10" i="5"/>
  <c r="C127" i="5" l="1"/>
  <c r="C118" i="5"/>
  <c r="C116" i="5"/>
  <c r="C139" i="5"/>
  <c r="G66" i="1"/>
  <c r="G61" i="1"/>
  <c r="G60" i="1"/>
  <c r="B12" i="5"/>
  <c r="B13" i="5" s="1"/>
  <c r="C72" i="5"/>
  <c r="K68" i="5"/>
  <c r="K71" i="5" s="1"/>
  <c r="G71" i="5"/>
  <c r="E12" i="5"/>
  <c r="F67" i="1"/>
  <c r="F69" i="1"/>
  <c r="G63" i="1"/>
  <c r="F64" i="1"/>
  <c r="F65" i="1"/>
  <c r="H58" i="1"/>
  <c r="E21" i="5"/>
  <c r="C31" i="5"/>
  <c r="C143" i="5" l="1"/>
  <c r="C122" i="5"/>
  <c r="C124" i="5" s="1"/>
  <c r="C150" i="5"/>
  <c r="H34" i="4"/>
  <c r="C110" i="5"/>
  <c r="C112" i="5" s="1"/>
  <c r="H66" i="1"/>
  <c r="H61" i="1"/>
  <c r="H60" i="1"/>
  <c r="C33" i="5"/>
  <c r="F64" i="4" s="1"/>
  <c r="G64" i="4" s="1"/>
  <c r="C92" i="5"/>
  <c r="G72" i="5"/>
  <c r="C64" i="4"/>
  <c r="C76" i="5"/>
  <c r="C77" i="5"/>
  <c r="C34" i="5"/>
  <c r="E13" i="5"/>
  <c r="G67" i="1"/>
  <c r="G69" i="1"/>
  <c r="H63" i="1"/>
  <c r="G64" i="1"/>
  <c r="G65" i="1"/>
  <c r="I58" i="1"/>
  <c r="D10" i="4"/>
  <c r="D7" i="4"/>
  <c r="D12" i="4"/>
  <c r="D11" i="4"/>
  <c r="D6" i="4"/>
  <c r="C62" i="4"/>
  <c r="B63" i="4"/>
  <c r="C63" i="4" s="1"/>
  <c r="G17" i="4"/>
  <c r="G16" i="4"/>
  <c r="D17" i="4"/>
  <c r="D16" i="4"/>
  <c r="D63" i="4" l="1"/>
  <c r="G63" i="4" s="1"/>
  <c r="F63" i="4"/>
  <c r="D62" i="4"/>
  <c r="G62" i="4" s="1"/>
  <c r="F62" i="4"/>
  <c r="H46" i="4"/>
  <c r="H52" i="4" s="1"/>
  <c r="H55" i="4" s="1"/>
  <c r="H56" i="4" s="1"/>
  <c r="H57" i="4"/>
  <c r="E19" i="5"/>
  <c r="I36" i="4"/>
  <c r="I66" i="1"/>
  <c r="I61" i="1"/>
  <c r="I60" i="1"/>
  <c r="C96" i="5"/>
  <c r="F65" i="4" s="1"/>
  <c r="G65" i="4" s="1"/>
  <c r="G92" i="5"/>
  <c r="G93" i="5" s="1"/>
  <c r="G95" i="5" s="1"/>
  <c r="C93" i="5"/>
  <c r="C95" i="5" s="1"/>
  <c r="G76" i="5"/>
  <c r="C65" i="4"/>
  <c r="K72" i="5"/>
  <c r="D64" i="4"/>
  <c r="G73" i="5"/>
  <c r="G75" i="5" s="1"/>
  <c r="E63" i="4"/>
  <c r="H63" i="4"/>
  <c r="E62" i="4"/>
  <c r="H62" i="4"/>
  <c r="C73" i="5"/>
  <c r="C75" i="5" s="1"/>
  <c r="C79" i="5"/>
  <c r="H67" i="1"/>
  <c r="H69" i="1"/>
  <c r="I63" i="1"/>
  <c r="E27" i="5" l="1"/>
  <c r="E28" i="5"/>
  <c r="E29" i="5" s="1"/>
  <c r="E30" i="5" s="1"/>
  <c r="E31" i="5" s="1"/>
  <c r="E33" i="5" s="1"/>
  <c r="E34" i="5" s="1"/>
  <c r="H76" i="4"/>
  <c r="G96" i="5"/>
  <c r="C97" i="5"/>
  <c r="E64" i="4"/>
  <c r="K73" i="5"/>
  <c r="K75" i="5" s="1"/>
  <c r="K76" i="5"/>
  <c r="E65" i="4" s="1"/>
  <c r="D65" i="4"/>
  <c r="G77" i="5"/>
  <c r="C80" i="5"/>
  <c r="I67" i="1"/>
  <c r="I69" i="1"/>
  <c r="I62" i="4"/>
  <c r="I63" i="4"/>
  <c r="B72" i="4"/>
  <c r="B81" i="4" s="1"/>
  <c r="H64" i="4" l="1"/>
  <c r="C104" i="5"/>
  <c r="F36" i="4" s="1"/>
  <c r="G36" i="4" s="1"/>
  <c r="C100" i="5"/>
  <c r="C101" i="5" s="1"/>
  <c r="F73" i="4" s="1"/>
  <c r="C99" i="5"/>
  <c r="G97" i="5"/>
  <c r="K77" i="5"/>
  <c r="G84" i="5"/>
  <c r="G80" i="5"/>
  <c r="G81" i="5" s="1"/>
  <c r="G79" i="5"/>
  <c r="C81" i="5"/>
  <c r="B75" i="4"/>
  <c r="B78" i="4" s="1"/>
  <c r="B74" i="4"/>
  <c r="C72" i="4"/>
  <c r="H59" i="4" l="1"/>
  <c r="H60" i="4" s="1"/>
  <c r="D72" i="4"/>
  <c r="G72" i="4" s="1"/>
  <c r="F72" i="4"/>
  <c r="G100" i="5"/>
  <c r="G101" i="5" s="1"/>
  <c r="G102" i="5" s="1"/>
  <c r="G103" i="5" s="1"/>
  <c r="G66" i="4" s="1"/>
  <c r="G99" i="5"/>
  <c r="G73" i="4" s="1"/>
  <c r="C102" i="5"/>
  <c r="C103" i="5" s="1"/>
  <c r="F66" i="4" s="1"/>
  <c r="C105" i="5"/>
  <c r="F38" i="4" s="1"/>
  <c r="F42" i="4" s="1"/>
  <c r="F52" i="4" s="1"/>
  <c r="F55" i="4" s="1"/>
  <c r="F56" i="4" s="1"/>
  <c r="C82" i="5"/>
  <c r="C83" i="5" s="1"/>
  <c r="C66" i="4" s="1"/>
  <c r="C73" i="4"/>
  <c r="G82" i="5"/>
  <c r="G83" i="5" s="1"/>
  <c r="D66" i="4" s="1"/>
  <c r="D73" i="4"/>
  <c r="D36" i="4"/>
  <c r="E36" i="4" s="1"/>
  <c r="G85" i="5"/>
  <c r="D38" i="4" s="1"/>
  <c r="D42" i="4" s="1"/>
  <c r="D52" i="4" s="1"/>
  <c r="D55" i="4" s="1"/>
  <c r="D56" i="4" s="1"/>
  <c r="K80" i="5"/>
  <c r="K81" i="5" s="1"/>
  <c r="K79" i="5"/>
  <c r="E72" i="4"/>
  <c r="H72" i="4"/>
  <c r="C67" i="4"/>
  <c r="C68" i="4"/>
  <c r="F59" i="4" l="1"/>
  <c r="F60" i="4" s="1"/>
  <c r="F74" i="4"/>
  <c r="F81" i="4"/>
  <c r="F75" i="4"/>
  <c r="F78" i="4" s="1"/>
  <c r="G74" i="4"/>
  <c r="G81" i="4"/>
  <c r="G75" i="4"/>
  <c r="G78" i="4" s="1"/>
  <c r="D59" i="4"/>
  <c r="D60" i="4" s="1"/>
  <c r="C81" i="4"/>
  <c r="C75" i="4"/>
  <c r="C78" i="4" s="1"/>
  <c r="C74" i="4"/>
  <c r="K82" i="5"/>
  <c r="K83" i="5" s="1"/>
  <c r="E66" i="4" s="1"/>
  <c r="E73" i="4"/>
  <c r="D81" i="4"/>
  <c r="D75" i="4"/>
  <c r="D74" i="4"/>
  <c r="D78" i="4"/>
  <c r="I72" i="4"/>
  <c r="D13" i="4"/>
  <c r="G82" i="4" l="1"/>
  <c r="G84" i="4"/>
  <c r="F82" i="4"/>
  <c r="F84" i="4"/>
  <c r="C111" i="5"/>
  <c r="E74" i="4"/>
  <c r="E81" i="4"/>
  <c r="E75" i="4"/>
  <c r="E78" i="4" s="1"/>
  <c r="D84" i="4"/>
  <c r="D82" i="4"/>
  <c r="E84" i="4"/>
  <c r="E82" i="4"/>
  <c r="D15" i="4"/>
  <c r="D23" i="4" l="1"/>
  <c r="B59" i="4"/>
  <c r="H73" i="4" l="1"/>
  <c r="H66" i="4"/>
  <c r="H81" i="4" l="1"/>
  <c r="H75" i="4"/>
  <c r="H78" i="4" s="1"/>
  <c r="H74" i="4"/>
  <c r="C52" i="4"/>
  <c r="C59" i="4" s="1"/>
  <c r="H82" i="4" l="1"/>
  <c r="H84" i="4"/>
  <c r="B52" i="4"/>
  <c r="B60" i="4"/>
  <c r="C60" i="4"/>
  <c r="B44" i="1"/>
  <c r="R50" i="1" s="1"/>
  <c r="G61" i="4" l="1"/>
  <c r="F61" i="4"/>
  <c r="H61" i="4"/>
  <c r="E61" i="4"/>
  <c r="D61" i="4"/>
  <c r="B49" i="1"/>
  <c r="J50" i="1"/>
  <c r="C61" i="4"/>
  <c r="F79" i="4" l="1"/>
  <c r="F80" i="4"/>
  <c r="G79" i="4"/>
  <c r="G80" i="4"/>
  <c r="H79" i="4"/>
  <c r="H80" i="4"/>
  <c r="D79" i="4"/>
  <c r="D80" i="4"/>
  <c r="E79" i="4"/>
  <c r="E80" i="4"/>
  <c r="I64" i="1"/>
  <c r="I65" i="1"/>
  <c r="C80" i="4"/>
  <c r="C79" i="4"/>
  <c r="H64" i="1" l="1"/>
  <c r="H65" i="1"/>
  <c r="C84" i="4" l="1"/>
  <c r="C82" i="4"/>
  <c r="C132" i="5"/>
  <c r="I34" i="4"/>
  <c r="C39" i="5" s="1"/>
  <c r="C44" i="5" s="1"/>
  <c r="C45" i="5" s="1"/>
  <c r="C46" i="5" s="1"/>
  <c r="I46" i="4"/>
  <c r="I52" i="4"/>
  <c r="I55" i="4" s="1"/>
  <c r="I56" i="4" s="1"/>
  <c r="I57" i="4"/>
  <c r="I59" i="4"/>
  <c r="I60" i="4"/>
  <c r="I61" i="4"/>
  <c r="I76" i="4"/>
  <c r="G130" i="5" l="1"/>
  <c r="C133" i="5"/>
  <c r="G138" i="5" l="1"/>
  <c r="G139" i="5"/>
  <c r="G142" i="5" s="1"/>
  <c r="G143" i="5" s="1"/>
  <c r="G144" i="5"/>
  <c r="C134" i="5" l="1"/>
  <c r="C140" i="5" s="1"/>
  <c r="G146" i="5"/>
  <c r="G147" i="5" s="1"/>
  <c r="C141" i="5" l="1"/>
  <c r="C145" i="5"/>
  <c r="C138" i="5"/>
  <c r="I65" i="4" s="1"/>
  <c r="I64" i="4"/>
  <c r="C135" i="5"/>
  <c r="C137" i="5" s="1"/>
  <c r="C146" i="5" s="1"/>
  <c r="C147" i="5" s="1"/>
  <c r="C148" i="5" l="1"/>
  <c r="C149" i="5" s="1"/>
  <c r="I66" i="4" s="1"/>
  <c r="I73" i="4"/>
  <c r="I74" i="4" l="1"/>
  <c r="I75" i="4"/>
  <c r="I78" i="4" s="1"/>
  <c r="I81" i="4"/>
  <c r="I79" i="4" l="1"/>
  <c r="I80" i="4"/>
  <c r="I82" i="4"/>
  <c r="I84" i="4"/>
</calcChain>
</file>

<file path=xl/sharedStrings.xml><?xml version="1.0" encoding="utf-8"?>
<sst xmlns="http://schemas.openxmlformats.org/spreadsheetml/2006/main" count="597" uniqueCount="219">
  <si>
    <t>Bezeichnung</t>
  </si>
  <si>
    <t>Investition</t>
  </si>
  <si>
    <t>Kosteneinsparung nach 20 Jahren</t>
  </si>
  <si>
    <t>Autarkie Wärme</t>
  </si>
  <si>
    <t>Autarkie Strom</t>
  </si>
  <si>
    <t>Förderung</t>
  </si>
  <si>
    <t>Solarthermie</t>
  </si>
  <si>
    <t>Wärmeerzeuger</t>
  </si>
  <si>
    <t>Schornstein</t>
  </si>
  <si>
    <t>Gasanschluss</t>
  </si>
  <si>
    <t>Heizsystem</t>
  </si>
  <si>
    <t>Photovoltaik</t>
  </si>
  <si>
    <t>Batteriespeicher</t>
  </si>
  <si>
    <t>verbleibende Investition</t>
  </si>
  <si>
    <t>Stromverbrauch</t>
  </si>
  <si>
    <t>kWh/a</t>
  </si>
  <si>
    <t>Amortisationszeit (a - Jahre)</t>
  </si>
  <si>
    <t>CO2 (t/a - Tonnen pro Jahr)</t>
  </si>
  <si>
    <t>Endenergie (kWh/a - kWh pro Jahr)</t>
  </si>
  <si>
    <t>Gaspreis</t>
  </si>
  <si>
    <t>Strompreis</t>
  </si>
  <si>
    <t>Cent/kWh</t>
  </si>
  <si>
    <t>Strom</t>
  </si>
  <si>
    <t>Holzpreis</t>
  </si>
  <si>
    <t>Pelletpreis</t>
  </si>
  <si>
    <t>€/ rm</t>
  </si>
  <si>
    <t>€/ t</t>
  </si>
  <si>
    <t>kWh/rm</t>
  </si>
  <si>
    <t>kWh/t</t>
  </si>
  <si>
    <t>CO2-Faktoren:</t>
  </si>
  <si>
    <t>Gas</t>
  </si>
  <si>
    <t>Holz</t>
  </si>
  <si>
    <t>Pellet</t>
  </si>
  <si>
    <t>kg/kWh</t>
  </si>
  <si>
    <t>Ausgangswerte:</t>
  </si>
  <si>
    <t>Ist-Zustand</t>
  </si>
  <si>
    <t>Brennstofflager</t>
  </si>
  <si>
    <t>Instandhaltungsanteil</t>
  </si>
  <si>
    <t>Ölpreis</t>
  </si>
  <si>
    <t>Öl</t>
  </si>
  <si>
    <t>Energiekosten pro Jahr</t>
  </si>
  <si>
    <t>Wartungskosten etc. pro Jahr</t>
  </si>
  <si>
    <t>Betriebskosten pro Jahr</t>
  </si>
  <si>
    <t>Strom pro Jahr</t>
  </si>
  <si>
    <t>Investition im Vergleich</t>
  </si>
  <si>
    <t xml:space="preserve"> Investitionskosten: höchstens 5.000 € Zusatzkosten</t>
  </si>
  <si>
    <t xml:space="preserve"> Kohlendioxidbelastung: höchstens 2 Tonnen jährlich</t>
  </si>
  <si>
    <t>Betriebskosten: höchstens 1.500 € jährlich</t>
  </si>
  <si>
    <t>Autarkie Wärme: mindestens 50 Prozent</t>
  </si>
  <si>
    <t>Kosteneinsparung: mindestens 5.000 € über 20 Jahre</t>
  </si>
  <si>
    <t>Autarkie Strom: mindestens 50 Prozent</t>
  </si>
  <si>
    <t>Amortisationszeit: höchstens 10 Jahre</t>
  </si>
  <si>
    <t>Ölverbrauch</t>
  </si>
  <si>
    <t>Liter</t>
  </si>
  <si>
    <t>In diesen Feldern stehen die im Ratgeber dokumentierten Vorgabewerte</t>
  </si>
  <si>
    <t>grüne Schriftfarbe</t>
  </si>
  <si>
    <t>rote Schriftfarbe</t>
  </si>
  <si>
    <t>Bei dieser Varianten ist die Investition geringer als im Ist-Zustand</t>
  </si>
  <si>
    <t>In dieser Zeile ist die Variante ungünstiger als der Ist-Zustand</t>
  </si>
  <si>
    <t>Bitte eigene Werte eintragen</t>
  </si>
  <si>
    <t>Förderfähig für BEG EM</t>
  </si>
  <si>
    <t>Förderung BEG EM</t>
  </si>
  <si>
    <t xml:space="preserve">sonstige Förderung </t>
  </si>
  <si>
    <t>Sonstige Förderung</t>
  </si>
  <si>
    <t>Förderung Land/ Kommune</t>
  </si>
  <si>
    <t>Heizwärme pro Jahr</t>
  </si>
  <si>
    <t>Warmwasserbereitung pro Jahr</t>
  </si>
  <si>
    <t>kWh</t>
  </si>
  <si>
    <t>Wartungskosten</t>
  </si>
  <si>
    <t>Autarkie Gesamt</t>
  </si>
  <si>
    <t>Autarkie Gesamt: mindestens 50 Prozent</t>
  </si>
  <si>
    <t>Gasverbrauch</t>
  </si>
  <si>
    <t>Energie für Warmwasser (aus Tab.1)</t>
  </si>
  <si>
    <t>Verluste Warmwasser (aus Tab1)</t>
  </si>
  <si>
    <t>Scheitholzverbrauch</t>
  </si>
  <si>
    <t>Pelletverbrauch</t>
  </si>
  <si>
    <t>Heizstromverbrauch</t>
  </si>
  <si>
    <t>rm</t>
  </si>
  <si>
    <t>t</t>
  </si>
  <si>
    <t>Heizstrompreis</t>
  </si>
  <si>
    <t>Erdgas pro Jahr</t>
  </si>
  <si>
    <t xml:space="preserve">                            1,4 €/ Liter</t>
  </si>
  <si>
    <t xml:space="preserve">                            12,0 ct/kWh</t>
  </si>
  <si>
    <t xml:space="preserve">                            40,0 ct/kWh</t>
  </si>
  <si>
    <t xml:space="preserve">                          4000 kWh/a</t>
  </si>
  <si>
    <t>Wirkungsgrad Heizung (Brennwert)</t>
  </si>
  <si>
    <t>€/Liter</t>
  </si>
  <si>
    <t>Neubauvorhaben</t>
  </si>
  <si>
    <t>a</t>
  </si>
  <si>
    <t>n oder a eingeben</t>
  </si>
  <si>
    <t>%</t>
  </si>
  <si>
    <t>Fläche Kollektor</t>
  </si>
  <si>
    <t>Vorlauftemperatur</t>
  </si>
  <si>
    <t>thermische</t>
  </si>
  <si>
    <t xml:space="preserve">Solaranlage </t>
  </si>
  <si>
    <t>nur Brauchwasser</t>
  </si>
  <si>
    <t>Flachkollektor</t>
  </si>
  <si>
    <t>Röhrenkollektor</t>
  </si>
  <si>
    <t>auch Heizung</t>
  </si>
  <si>
    <t>Luftkollektor</t>
  </si>
  <si>
    <t>Fläche</t>
  </si>
  <si>
    <t>Brauchwasser Anlage Flachkollektor</t>
  </si>
  <si>
    <t>Ertrag</t>
  </si>
  <si>
    <t>Solarertrag</t>
  </si>
  <si>
    <t>Öl pro Jahr</t>
  </si>
  <si>
    <t>Scheitholz pro Jahr</t>
  </si>
  <si>
    <t>Pellet pro Jahr</t>
  </si>
  <si>
    <t>Heizstrom pro Jahr</t>
  </si>
  <si>
    <t>Solarertrag pro Jahr</t>
  </si>
  <si>
    <t>Faktor</t>
  </si>
  <si>
    <t>Globalstrahlung</t>
  </si>
  <si>
    <t>kWh/m²a</t>
  </si>
  <si>
    <t>Globalstarhlung</t>
  </si>
  <si>
    <t>korr Solarertrag</t>
  </si>
  <si>
    <t>WW</t>
  </si>
  <si>
    <t>Heizungsunterstützung Flachkollektor</t>
  </si>
  <si>
    <t>Vorlauftemp</t>
  </si>
  <si>
    <t>Eingangsdaten:</t>
  </si>
  <si>
    <t xml:space="preserve"> WW</t>
  </si>
  <si>
    <t>Heizwärme</t>
  </si>
  <si>
    <t>VL</t>
  </si>
  <si>
    <t>Kolektorart</t>
  </si>
  <si>
    <t>Flach</t>
  </si>
  <si>
    <t>Röhre</t>
  </si>
  <si>
    <t>Luft</t>
  </si>
  <si>
    <t>Ausgabe</t>
  </si>
  <si>
    <t>Ertrag/m2</t>
  </si>
  <si>
    <t>Wenn Luft</t>
  </si>
  <si>
    <t>Wenn Flach</t>
  </si>
  <si>
    <t>wenn 4 p</t>
  </si>
  <si>
    <t>wenn wenig Heizung</t>
  </si>
  <si>
    <t>NT-Hzg</t>
  </si>
  <si>
    <t>nur WW</t>
  </si>
  <si>
    <t>Korr WW</t>
  </si>
  <si>
    <t>Korr Hzg</t>
  </si>
  <si>
    <t>Autarkie gesamt</t>
  </si>
  <si>
    <t>Sonstige Betriebskosten pro Jahr</t>
  </si>
  <si>
    <t>Einsparung pro Jahr</t>
  </si>
  <si>
    <t>WWVerl</t>
  </si>
  <si>
    <t>WWNutz</t>
  </si>
  <si>
    <t>Verbl WW</t>
  </si>
  <si>
    <t>Verbl. WW</t>
  </si>
  <si>
    <t>Einsparung</t>
  </si>
  <si>
    <t>Einstrahlung</t>
  </si>
  <si>
    <t>Rest</t>
  </si>
  <si>
    <t>zusätzlich verfügbar</t>
  </si>
  <si>
    <t>Nutzungsfaktor</t>
  </si>
  <si>
    <t>Wärme</t>
  </si>
  <si>
    <t>JAZ</t>
  </si>
  <si>
    <t>JAZ korr</t>
  </si>
  <si>
    <t>DJAZ</t>
  </si>
  <si>
    <t>Wärme - Einsp</t>
  </si>
  <si>
    <t>Wärme - St zusätzl</t>
  </si>
  <si>
    <t>Tabelle 8:</t>
  </si>
  <si>
    <t>zu Kapitel 3, thermische Solaranlagen und Wärmepumpen</t>
  </si>
  <si>
    <t>Wärmepumpenstrompreis</t>
  </si>
  <si>
    <t>Leistung Wärmepumpe</t>
  </si>
  <si>
    <t>Jahresarbeitszahl ohne Solaranlage</t>
  </si>
  <si>
    <t>Verbesserung der Jahresarbeitszahl</t>
  </si>
  <si>
    <t>Wärmepumpenstrom pro Jahr</t>
  </si>
  <si>
    <t>Variante 9 a</t>
  </si>
  <si>
    <t>Flachkollektor +</t>
  </si>
  <si>
    <t>Erd-Wärmepumpe</t>
  </si>
  <si>
    <t>BW-Wärmepumpe</t>
  </si>
  <si>
    <t>Variante 9 b - 1</t>
  </si>
  <si>
    <t>Variante 9 b - 2</t>
  </si>
  <si>
    <t>Luft-Wärmepumpe</t>
  </si>
  <si>
    <t>Variante 9 c - 1</t>
  </si>
  <si>
    <t>Variante 9 c - 2</t>
  </si>
  <si>
    <t>Eisspeicher</t>
  </si>
  <si>
    <t>Sole-Wärmepumpe</t>
  </si>
  <si>
    <t>Hybrid-Kollektor</t>
  </si>
  <si>
    <t>Erd-Speicher</t>
  </si>
  <si>
    <t>Sonnenenergie zur Verbesserung der JAZ</t>
  </si>
  <si>
    <t>Gesamtlänge Erdsone</t>
  </si>
  <si>
    <t>Erdsonde</t>
  </si>
  <si>
    <t>9a</t>
  </si>
  <si>
    <t>9b - 1</t>
  </si>
  <si>
    <t>9b - 2</t>
  </si>
  <si>
    <t>Wärme WW</t>
  </si>
  <si>
    <t>Leistung WP</t>
  </si>
  <si>
    <t>Sondenlänge</t>
  </si>
  <si>
    <t>9c - 1</t>
  </si>
  <si>
    <t>9c - 2</t>
  </si>
  <si>
    <t>9 d</t>
  </si>
  <si>
    <t>Kollektorertrag</t>
  </si>
  <si>
    <t>Benötigte Fläche</t>
  </si>
  <si>
    <t>9 e</t>
  </si>
  <si>
    <t>Wasser-/ Erdspeicher</t>
  </si>
  <si>
    <t>Gesamtlänge Erdsonde</t>
  </si>
  <si>
    <t>benötigte Umweltwärme</t>
  </si>
  <si>
    <t>benötige Umweltwärme</t>
  </si>
  <si>
    <t>Aus dem Erdreich</t>
  </si>
  <si>
    <t>Fläche Eisspeicher</t>
  </si>
  <si>
    <t>Ergiebigkeit</t>
  </si>
  <si>
    <t>von Kollektoren</t>
  </si>
  <si>
    <t>Wärme - Solarertrag</t>
  </si>
  <si>
    <t>Haushalt A</t>
  </si>
  <si>
    <t>Haushalt B</t>
  </si>
  <si>
    <t>Haushalt C</t>
  </si>
  <si>
    <t>Variante 9 d</t>
  </si>
  <si>
    <t>Variante 9 e</t>
  </si>
  <si>
    <t>Die Förderung bezieht sich auf die neue Bundesförderung für effiziente Gebäude (BEG) ab 01.01.2024</t>
  </si>
  <si>
    <t>maximale förderfähige Kosten</t>
  </si>
  <si>
    <t>Fördersatz</t>
  </si>
  <si>
    <t>Energiepreise Stand 2023 teilweise orientiert an den Preisdeckeln, ohne Preissteigerung</t>
  </si>
  <si>
    <t>Tragen Sie hier Ihre individuellen Werte ein  - Stand 02.01.2024</t>
  </si>
  <si>
    <t>Vollständige Tabelle mit allen Varianten  - Stand 02.01.2024</t>
  </si>
  <si>
    <t>Ausrichtungsfaktor  (aus Abb.3, Kap.2)</t>
  </si>
  <si>
    <t>Wohnfläche</t>
  </si>
  <si>
    <t>m²</t>
  </si>
  <si>
    <t>Energiekennwert</t>
  </si>
  <si>
    <t>Bewertung des Energiekennwerts:</t>
  </si>
  <si>
    <t>gut</t>
  </si>
  <si>
    <t>mittel</t>
  </si>
  <si>
    <t>schlecht</t>
  </si>
  <si>
    <t>bis mittel</t>
  </si>
  <si>
    <t>bis schlecht</t>
  </si>
  <si>
    <t>Energiekennzahl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</si>
</sst>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#,##0\ &quot;€&quot;;[Red]\-#,##0\ &quot;€&quot;"/>
    <numFmt numFmtId="164" formatCode="#,##0\ &quot;€&quot;"/>
    <numFmt numFmtId="165" formatCode="#,##0\ &quot;kWh/a&quot;"/>
    <numFmt numFmtId="166" formatCode="0.0\ &quot;t/a&quot;"/>
    <numFmt numFmtId="167" formatCode="0\ \ &quot;a&quot;"/>
    <numFmt numFmtId="168" formatCode="0.0\ \ &quot;a&quot;"/>
    <numFmt numFmtId="169" formatCode="#,##0.0"/>
    <numFmt numFmtId="170" formatCode="#,##0.000"/>
    <numFmt numFmtId="171" formatCode="0.0"/>
    <numFmt numFmtId="172" formatCode="0.000"/>
    <numFmt numFmtId="173" formatCode="0.0\ &quot;ct/kWh&quot;"/>
    <numFmt numFmtId="174" formatCode="#,##0\ &quot;Liter/a&quot;"/>
    <numFmt numFmtId="175" formatCode="0.0\ &quot;m²&quot;"/>
    <numFmt numFmtId="176" formatCode="#,##0\ &quot;oC&quot;"/>
    <numFmt numFmtId="177" formatCode="#,##0\ &quot;kWh/m²a&quot;"/>
    <numFmt numFmtId="178" formatCode="0.0%"/>
    <numFmt numFmtId="179" formatCode="#,##0\ &quot;l/a&quot;"/>
    <numFmt numFmtId="180" formatCode="0\ &quot;oC&quot;"/>
    <numFmt numFmtId="181" formatCode="0.0\ &quot;kW&quot;"/>
    <numFmt numFmtId="182" formatCode="0\ &quot;m&quot;"/>
    <numFmt numFmtId="183" formatCode="0\ &quot;m²&quot;"/>
  </numFmts>
  <fonts count="13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10"/>
      <color rgb="FF339933"/>
      <name val="Arial"/>
      <family val="2"/>
    </font>
    <font>
      <sz val="10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sz val="10"/>
      <color theme="0"/>
      <name val="Arial"/>
      <family val="2"/>
    </font>
    <font>
      <b/>
      <sz val="18"/>
      <color theme="0"/>
      <name val="Arial"/>
      <family val="2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A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5DD5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34BC9"/>
        <bgColor indexed="64"/>
      </patternFill>
    </fill>
    <fill>
      <patternFill patternType="solid">
        <fgColor rgb="FFE1F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6600"/>
        <bgColor indexed="64"/>
      </patternFill>
    </fill>
  </fills>
  <borders count="31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9" fontId="0" fillId="0" borderId="0" xfId="0" applyNumberFormat="1"/>
    <xf numFmtId="166" fontId="0" fillId="0" borderId="0" xfId="0" applyNumberFormat="1"/>
    <xf numFmtId="6" fontId="0" fillId="0" borderId="0" xfId="0" applyNumberFormat="1"/>
    <xf numFmtId="0" fontId="2" fillId="0" borderId="0" xfId="0" applyFont="1" applyAlignment="1">
      <alignment horizontal="right"/>
    </xf>
    <xf numFmtId="0" fontId="6" fillId="0" borderId="0" xfId="0" applyFont="1"/>
    <xf numFmtId="0" fontId="0" fillId="10" borderId="0" xfId="0" applyFill="1"/>
    <xf numFmtId="0" fontId="0" fillId="10" borderId="3" xfId="0" applyFill="1" applyBorder="1"/>
    <xf numFmtId="0" fontId="0" fillId="10" borderId="4" xfId="0" applyFill="1" applyBorder="1"/>
    <xf numFmtId="0" fontId="0" fillId="10" borderId="5" xfId="0" applyFill="1" applyBorder="1"/>
    <xf numFmtId="0" fontId="0" fillId="10" borderId="6" xfId="0" applyFill="1" applyBorder="1"/>
    <xf numFmtId="0" fontId="0" fillId="10" borderId="7" xfId="0" applyFill="1" applyBorder="1"/>
    <xf numFmtId="0" fontId="0" fillId="10" borderId="8" xfId="0" applyFill="1" applyBorder="1"/>
    <xf numFmtId="0" fontId="0" fillId="10" borderId="9" xfId="0" applyFill="1" applyBorder="1"/>
    <xf numFmtId="0" fontId="1" fillId="10" borderId="10" xfId="0" applyFont="1" applyFill="1" applyBorder="1"/>
    <xf numFmtId="0" fontId="0" fillId="10" borderId="11" xfId="0" applyFill="1" applyBorder="1"/>
    <xf numFmtId="0" fontId="0" fillId="10" borderId="12" xfId="0" applyFill="1" applyBorder="1"/>
    <xf numFmtId="0" fontId="0" fillId="10" borderId="10" xfId="0" applyFill="1" applyBorder="1"/>
    <xf numFmtId="0" fontId="1" fillId="0" borderId="1" xfId="0" applyFont="1" applyBorder="1"/>
    <xf numFmtId="164" fontId="0" fillId="0" borderId="1" xfId="0" applyNumberFormat="1" applyBorder="1"/>
    <xf numFmtId="0" fontId="1" fillId="0" borderId="14" xfId="0" applyFont="1" applyBorder="1"/>
    <xf numFmtId="164" fontId="1" fillId="0" borderId="14" xfId="0" applyNumberFormat="1" applyFont="1" applyBorder="1"/>
    <xf numFmtId="6" fontId="1" fillId="0" borderId="14" xfId="0" applyNumberFormat="1" applyFont="1" applyBorder="1"/>
    <xf numFmtId="165" fontId="1" fillId="0" borderId="14" xfId="0" applyNumberFormat="1" applyFont="1" applyBorder="1"/>
    <xf numFmtId="0" fontId="1" fillId="0" borderId="15" xfId="0" applyFont="1" applyBorder="1"/>
    <xf numFmtId="0" fontId="1" fillId="0" borderId="13" xfId="0" applyFont="1" applyBorder="1"/>
    <xf numFmtId="164" fontId="0" fillId="0" borderId="13" xfId="0" applyNumberFormat="1" applyBorder="1"/>
    <xf numFmtId="164" fontId="0" fillId="10" borderId="16" xfId="0" applyNumberFormat="1" applyFill="1" applyBorder="1"/>
    <xf numFmtId="164" fontId="0" fillId="10" borderId="17" xfId="0" applyNumberFormat="1" applyFill="1" applyBorder="1"/>
    <xf numFmtId="164" fontId="1" fillId="10" borderId="16" xfId="0" applyNumberFormat="1" applyFont="1" applyFill="1" applyBorder="1"/>
    <xf numFmtId="164" fontId="1" fillId="10" borderId="17" xfId="0" applyNumberFormat="1" applyFont="1" applyFill="1" applyBorder="1"/>
    <xf numFmtId="0" fontId="1" fillId="0" borderId="16" xfId="0" applyFont="1" applyBorder="1"/>
    <xf numFmtId="165" fontId="0" fillId="0" borderId="16" xfId="0" applyNumberFormat="1" applyBorder="1"/>
    <xf numFmtId="0" fontId="1" fillId="0" borderId="2" xfId="0" applyFont="1" applyBorder="1"/>
    <xf numFmtId="165" fontId="0" fillId="0" borderId="2" xfId="0" applyNumberFormat="1" applyBorder="1"/>
    <xf numFmtId="164" fontId="0" fillId="0" borderId="2" xfId="0" applyNumberFormat="1" applyBorder="1"/>
    <xf numFmtId="164" fontId="1" fillId="0" borderId="13" xfId="0" applyNumberFormat="1" applyFont="1" applyBorder="1"/>
    <xf numFmtId="164" fontId="3" fillId="0" borderId="13" xfId="0" applyNumberFormat="1" applyFont="1" applyBorder="1"/>
    <xf numFmtId="6" fontId="0" fillId="0" borderId="13" xfId="0" applyNumberFormat="1" applyBorder="1"/>
    <xf numFmtId="167" fontId="0" fillId="0" borderId="13" xfId="0" applyNumberFormat="1" applyBorder="1"/>
    <xf numFmtId="168" fontId="4" fillId="0" borderId="13" xfId="0" applyNumberFormat="1" applyFont="1" applyBorder="1"/>
    <xf numFmtId="166" fontId="0" fillId="0" borderId="13" xfId="0" applyNumberFormat="1" applyBorder="1"/>
    <xf numFmtId="9" fontId="0" fillId="0" borderId="13" xfId="0" applyNumberFormat="1" applyBorder="1"/>
    <xf numFmtId="6" fontId="0" fillId="10" borderId="18" xfId="0" applyNumberFormat="1" applyFill="1" applyBorder="1"/>
    <xf numFmtId="0" fontId="3" fillId="0" borderId="19" xfId="0" applyFont="1" applyBorder="1"/>
    <xf numFmtId="0" fontId="0" fillId="0" borderId="19" xfId="0" applyBorder="1"/>
    <xf numFmtId="0" fontId="0" fillId="0" borderId="20" xfId="0" applyBorder="1"/>
    <xf numFmtId="0" fontId="7" fillId="0" borderId="21" xfId="0" applyFont="1" applyBorder="1"/>
    <xf numFmtId="0" fontId="3" fillId="0" borderId="0" xfId="0" applyFont="1"/>
    <xf numFmtId="0" fontId="0" fillId="0" borderId="22" xfId="0" applyBorder="1"/>
    <xf numFmtId="0" fontId="5" fillId="0" borderId="23" xfId="0" applyFont="1" applyBorder="1"/>
    <xf numFmtId="0" fontId="3" fillId="0" borderId="24" xfId="0" applyFont="1" applyBorder="1"/>
    <xf numFmtId="0" fontId="0" fillId="0" borderId="24" xfId="0" applyBorder="1"/>
    <xf numFmtId="0" fontId="0" fillId="0" borderId="25" xfId="0" applyBorder="1"/>
    <xf numFmtId="6" fontId="0" fillId="4" borderId="18" xfId="0" applyNumberFormat="1" applyFill="1" applyBorder="1"/>
    <xf numFmtId="166" fontId="0" fillId="5" borderId="19" xfId="0" applyNumberFormat="1" applyFill="1" applyBorder="1"/>
    <xf numFmtId="6" fontId="0" fillId="0" borderId="19" xfId="0" applyNumberFormat="1" applyBorder="1"/>
    <xf numFmtId="164" fontId="0" fillId="6" borderId="21" xfId="0" applyNumberFormat="1" applyFill="1" applyBorder="1"/>
    <xf numFmtId="9" fontId="0" fillId="7" borderId="0" xfId="0" applyNumberFormat="1" applyFill="1"/>
    <xf numFmtId="6" fontId="0" fillId="8" borderId="21" xfId="0" applyNumberFormat="1" applyFill="1" applyBorder="1"/>
    <xf numFmtId="9" fontId="0" fillId="9" borderId="0" xfId="0" applyNumberFormat="1" applyFill="1"/>
    <xf numFmtId="167" fontId="4" fillId="3" borderId="23" xfId="0" applyNumberFormat="1" applyFont="1" applyFill="1" applyBorder="1"/>
    <xf numFmtId="0" fontId="6" fillId="11" borderId="0" xfId="0" applyFont="1" applyFill="1"/>
    <xf numFmtId="169" fontId="0" fillId="2" borderId="2" xfId="0" applyNumberForma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0" fontId="3" fillId="10" borderId="2" xfId="0" applyFont="1" applyFill="1" applyBorder="1"/>
    <xf numFmtId="0" fontId="0" fillId="10" borderId="2" xfId="0" applyFill="1" applyBorder="1"/>
    <xf numFmtId="4" fontId="0" fillId="2" borderId="2" xfId="0" applyNumberFormat="1" applyFill="1" applyBorder="1" applyProtection="1">
      <protection locked="0"/>
    </xf>
    <xf numFmtId="0" fontId="8" fillId="10" borderId="12" xfId="0" applyFont="1" applyFill="1" applyBorder="1"/>
    <xf numFmtId="0" fontId="1" fillId="10" borderId="2" xfId="0" applyFont="1" applyFill="1" applyBorder="1"/>
    <xf numFmtId="170" fontId="0" fillId="2" borderId="11" xfId="0" applyNumberFormat="1" applyFill="1" applyBorder="1" applyProtection="1">
      <protection locked="0"/>
    </xf>
    <xf numFmtId="0" fontId="9" fillId="10" borderId="10" xfId="0" applyFont="1" applyFill="1" applyBorder="1"/>
    <xf numFmtId="0" fontId="8" fillId="10" borderId="10" xfId="0" applyFont="1" applyFill="1" applyBorder="1"/>
    <xf numFmtId="3" fontId="8" fillId="10" borderId="10" xfId="0" applyNumberFormat="1" applyFont="1" applyFill="1" applyBorder="1"/>
    <xf numFmtId="164" fontId="0" fillId="2" borderId="1" xfId="0" applyNumberFormat="1" applyFill="1" applyBorder="1" applyProtection="1">
      <protection locked="0"/>
    </xf>
    <xf numFmtId="164" fontId="0" fillId="0" borderId="16" xfId="0" applyNumberFormat="1" applyBorder="1"/>
    <xf numFmtId="164" fontId="0" fillId="2" borderId="16" xfId="0" applyNumberFormat="1" applyFill="1" applyBorder="1" applyProtection="1">
      <protection locked="0"/>
    </xf>
    <xf numFmtId="167" fontId="4" fillId="0" borderId="13" xfId="0" applyNumberFormat="1" applyFont="1" applyBorder="1"/>
    <xf numFmtId="0" fontId="10" fillId="0" borderId="0" xfId="0" applyFont="1"/>
    <xf numFmtId="0" fontId="1" fillId="0" borderId="26" xfId="0" applyFont="1" applyBorder="1"/>
    <xf numFmtId="164" fontId="0" fillId="0" borderId="26" xfId="0" applyNumberFormat="1" applyBorder="1"/>
    <xf numFmtId="164" fontId="0" fillId="2" borderId="2" xfId="0" applyNumberFormat="1" applyFill="1" applyBorder="1" applyProtection="1">
      <protection locked="0"/>
    </xf>
    <xf numFmtId="0" fontId="1" fillId="0" borderId="27" xfId="0" applyFont="1" applyBorder="1"/>
    <xf numFmtId="164" fontId="0" fillId="0" borderId="27" xfId="0" applyNumberFormat="1" applyBorder="1"/>
    <xf numFmtId="164" fontId="0" fillId="10" borderId="2" xfId="0" applyNumberFormat="1" applyFill="1" applyBorder="1"/>
    <xf numFmtId="0" fontId="1" fillId="10" borderId="27" xfId="0" applyFont="1" applyFill="1" applyBorder="1"/>
    <xf numFmtId="164" fontId="0" fillId="10" borderId="27" xfId="0" applyNumberFormat="1" applyFill="1" applyBorder="1"/>
    <xf numFmtId="3" fontId="0" fillId="10" borderId="11" xfId="0" applyNumberFormat="1" applyFill="1" applyBorder="1"/>
    <xf numFmtId="171" fontId="8" fillId="10" borderId="10" xfId="0" applyNumberFormat="1" applyFont="1" applyFill="1" applyBorder="1"/>
    <xf numFmtId="164" fontId="0" fillId="0" borderId="14" xfId="0" applyNumberFormat="1" applyBorder="1"/>
    <xf numFmtId="172" fontId="0" fillId="10" borderId="11" xfId="0" applyNumberFormat="1" applyFill="1" applyBorder="1"/>
    <xf numFmtId="172" fontId="0" fillId="10" borderId="0" xfId="0" applyNumberFormat="1" applyFill="1"/>
    <xf numFmtId="0" fontId="3" fillId="11" borderId="0" xfId="0" applyFont="1" applyFill="1" applyAlignment="1">
      <alignment vertical="top"/>
    </xf>
    <xf numFmtId="0" fontId="0" fillId="11" borderId="0" xfId="0" applyFill="1" applyAlignment="1">
      <alignment vertical="top"/>
    </xf>
    <xf numFmtId="0" fontId="8" fillId="10" borderId="0" xfId="0" applyFont="1" applyFill="1"/>
    <xf numFmtId="0" fontId="8" fillId="10" borderId="7" xfId="0" applyFont="1" applyFill="1" applyBorder="1"/>
    <xf numFmtId="172" fontId="8" fillId="10" borderId="10" xfId="0" applyNumberFormat="1" applyFont="1" applyFill="1" applyBorder="1"/>
    <xf numFmtId="165" fontId="0" fillId="0" borderId="0" xfId="0" applyNumberFormat="1"/>
    <xf numFmtId="0" fontId="11" fillId="0" borderId="0" xfId="0" applyFont="1"/>
    <xf numFmtId="165" fontId="0" fillId="0" borderId="26" xfId="0" applyNumberFormat="1" applyBorder="1"/>
    <xf numFmtId="2" fontId="0" fillId="0" borderId="0" xfId="0" applyNumberFormat="1"/>
    <xf numFmtId="9" fontId="3" fillId="2" borderId="2" xfId="0" applyNumberFormat="1" applyFont="1" applyFill="1" applyBorder="1" applyAlignment="1" applyProtection="1">
      <alignment horizontal="right"/>
      <protection locked="0"/>
    </xf>
    <xf numFmtId="0" fontId="8" fillId="10" borderId="11" xfId="0" applyFont="1" applyFill="1" applyBorder="1"/>
    <xf numFmtId="0" fontId="3" fillId="10" borderId="11" xfId="0" applyFont="1" applyFill="1" applyBorder="1"/>
    <xf numFmtId="173" fontId="12" fillId="10" borderId="11" xfId="0" applyNumberFormat="1" applyFont="1" applyFill="1" applyBorder="1" applyAlignment="1">
      <alignment horizontal="left"/>
    </xf>
    <xf numFmtId="0" fontId="0" fillId="10" borderId="28" xfId="0" applyFill="1" applyBorder="1"/>
    <xf numFmtId="3" fontId="0" fillId="2" borderId="18" xfId="0" applyNumberFormat="1" applyFill="1" applyBorder="1"/>
    <xf numFmtId="0" fontId="1" fillId="10" borderId="28" xfId="0" applyFont="1" applyFill="1" applyBorder="1"/>
    <xf numFmtId="3" fontId="8" fillId="10" borderId="10" xfId="0" applyNumberFormat="1" applyFont="1" applyFill="1" applyBorder="1" applyAlignment="1">
      <alignment horizontal="center"/>
    </xf>
    <xf numFmtId="175" fontId="3" fillId="2" borderId="2" xfId="0" applyNumberFormat="1" applyFont="1" applyFill="1" applyBorder="1" applyAlignment="1" applyProtection="1">
      <alignment horizontal="right"/>
      <protection locked="0"/>
    </xf>
    <xf numFmtId="9" fontId="3" fillId="0" borderId="2" xfId="0" applyNumberFormat="1" applyFont="1" applyBorder="1" applyAlignment="1">
      <alignment horizontal="right"/>
    </xf>
    <xf numFmtId="176" fontId="3" fillId="2" borderId="2" xfId="0" applyNumberFormat="1" applyFont="1" applyFill="1" applyBorder="1" applyAlignment="1" applyProtection="1">
      <alignment horizontal="right"/>
      <protection locked="0"/>
    </xf>
    <xf numFmtId="177" fontId="3" fillId="10" borderId="2" xfId="0" applyNumberFormat="1" applyFont="1" applyFill="1" applyBorder="1"/>
    <xf numFmtId="3" fontId="8" fillId="10" borderId="12" xfId="0" applyNumberFormat="1" applyFont="1" applyFill="1" applyBorder="1"/>
    <xf numFmtId="0" fontId="0" fillId="12" borderId="0" xfId="0" applyFill="1"/>
    <xf numFmtId="178" fontId="0" fillId="0" borderId="13" xfId="0" applyNumberFormat="1" applyBorder="1"/>
    <xf numFmtId="179" fontId="0" fillId="0" borderId="26" xfId="0" applyNumberFormat="1" applyBorder="1"/>
    <xf numFmtId="179" fontId="3" fillId="0" borderId="26" xfId="0" applyNumberFormat="1" applyFont="1" applyBorder="1"/>
    <xf numFmtId="174" fontId="3" fillId="10" borderId="2" xfId="0" applyNumberFormat="1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165" fontId="3" fillId="10" borderId="2" xfId="0" applyNumberFormat="1" applyFont="1" applyFill="1" applyBorder="1" applyAlignment="1">
      <alignment horizontal="center"/>
    </xf>
    <xf numFmtId="9" fontId="3" fillId="10" borderId="2" xfId="0" applyNumberFormat="1" applyFont="1" applyFill="1" applyBorder="1" applyAlignment="1">
      <alignment horizontal="center"/>
    </xf>
    <xf numFmtId="180" fontId="3" fillId="10" borderId="2" xfId="0" applyNumberFormat="1" applyFont="1" applyFill="1" applyBorder="1" applyAlignment="1">
      <alignment horizontal="center"/>
    </xf>
    <xf numFmtId="169" fontId="8" fillId="10" borderId="10" xfId="0" applyNumberFormat="1" applyFont="1" applyFill="1" applyBorder="1"/>
    <xf numFmtId="171" fontId="0" fillId="10" borderId="2" xfId="0" applyNumberFormat="1" applyFill="1" applyBorder="1"/>
    <xf numFmtId="171" fontId="3" fillId="2" borderId="2" xfId="0" applyNumberFormat="1" applyFont="1" applyFill="1" applyBorder="1" applyAlignment="1" applyProtection="1">
      <alignment horizontal="right"/>
      <protection locked="0"/>
    </xf>
    <xf numFmtId="182" fontId="0" fillId="0" borderId="26" xfId="0" applyNumberFormat="1" applyBorder="1"/>
    <xf numFmtId="171" fontId="0" fillId="0" borderId="0" xfId="0" applyNumberFormat="1"/>
    <xf numFmtId="169" fontId="0" fillId="0" borderId="26" xfId="0" applyNumberFormat="1" applyBorder="1"/>
    <xf numFmtId="181" fontId="3" fillId="0" borderId="2" xfId="0" applyNumberFormat="1" applyFont="1" applyBorder="1" applyAlignment="1">
      <alignment horizontal="right"/>
    </xf>
    <xf numFmtId="182" fontId="3" fillId="0" borderId="2" xfId="0" applyNumberFormat="1" applyFont="1" applyBorder="1" applyAlignment="1">
      <alignment horizontal="right"/>
    </xf>
    <xf numFmtId="175" fontId="0" fillId="0" borderId="2" xfId="0" applyNumberFormat="1" applyBorder="1"/>
    <xf numFmtId="0" fontId="3" fillId="0" borderId="2" xfId="0" applyFont="1" applyBorder="1" applyAlignment="1">
      <alignment horizontal="center"/>
    </xf>
    <xf numFmtId="180" fontId="3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81" fontId="3" fillId="10" borderId="2" xfId="0" applyNumberFormat="1" applyFont="1" applyFill="1" applyBorder="1" applyAlignment="1">
      <alignment horizontal="center"/>
    </xf>
    <xf numFmtId="181" fontId="1" fillId="10" borderId="2" xfId="0" applyNumberFormat="1" applyFont="1" applyFill="1" applyBorder="1" applyAlignment="1">
      <alignment horizontal="center"/>
    </xf>
    <xf numFmtId="171" fontId="3" fillId="10" borderId="2" xfId="0" applyNumberFormat="1" applyFont="1" applyFill="1" applyBorder="1" applyAlignment="1">
      <alignment horizontal="center"/>
    </xf>
    <xf numFmtId="171" fontId="1" fillId="10" borderId="2" xfId="0" applyNumberFormat="1" applyFont="1" applyFill="1" applyBorder="1" applyAlignment="1">
      <alignment horizontal="center"/>
    </xf>
    <xf numFmtId="182" fontId="3" fillId="10" borderId="2" xfId="0" applyNumberFormat="1" applyFont="1" applyFill="1" applyBorder="1" applyAlignment="1">
      <alignment horizontal="center"/>
    </xf>
    <xf numFmtId="182" fontId="1" fillId="10" borderId="2" xfId="0" applyNumberFormat="1" applyFont="1" applyFill="1" applyBorder="1" applyAlignment="1">
      <alignment horizontal="center"/>
    </xf>
    <xf numFmtId="175" fontId="3" fillId="10" borderId="2" xfId="0" applyNumberFormat="1" applyFont="1" applyFill="1" applyBorder="1" applyAlignment="1">
      <alignment horizontal="center"/>
    </xf>
    <xf numFmtId="175" fontId="1" fillId="10" borderId="2" xfId="0" applyNumberFormat="1" applyFont="1" applyFill="1" applyBorder="1" applyAlignment="1">
      <alignment horizontal="center"/>
    </xf>
    <xf numFmtId="0" fontId="1" fillId="10" borderId="3" xfId="0" applyFont="1" applyFill="1" applyBorder="1"/>
    <xf numFmtId="3" fontId="0" fillId="10" borderId="4" xfId="0" applyNumberFormat="1" applyFill="1" applyBorder="1"/>
    <xf numFmtId="171" fontId="0" fillId="10" borderId="8" xfId="0" applyNumberFormat="1" applyFill="1" applyBorder="1"/>
    <xf numFmtId="172" fontId="0" fillId="10" borderId="8" xfId="0" applyNumberFormat="1" applyFill="1" applyBorder="1"/>
    <xf numFmtId="49" fontId="3" fillId="2" borderId="2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0" fontId="1" fillId="0" borderId="30" xfId="0" applyFont="1" applyBorder="1"/>
    <xf numFmtId="1" fontId="0" fillId="0" borderId="29" xfId="0" applyNumberFormat="1" applyBorder="1"/>
    <xf numFmtId="0" fontId="0" fillId="14" borderId="0" xfId="0" applyFill="1"/>
    <xf numFmtId="0" fontId="0" fillId="3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16" borderId="0" xfId="0" applyFill="1" applyAlignment="1">
      <alignment horizontal="center"/>
    </xf>
    <xf numFmtId="0" fontId="0" fillId="14" borderId="0" xfId="0" applyFill="1" applyAlignment="1">
      <alignment horizontal="center"/>
    </xf>
    <xf numFmtId="183" fontId="3" fillId="10" borderId="2" xfId="0" applyNumberFormat="1" applyFont="1" applyFill="1" applyBorder="1" applyAlignment="1">
      <alignment horizontal="center"/>
    </xf>
  </cellXfs>
  <cellStyles count="1">
    <cellStyle name="Standard" xfId="0" builtinId="0"/>
  </cellStyles>
  <dxfs count="58">
    <dxf>
      <font>
        <color rgb="FFFF000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ill>
        <patternFill>
          <bgColor rgb="FFB6DF89"/>
        </patternFill>
      </fill>
    </dxf>
    <dxf>
      <fill>
        <patternFill>
          <bgColor rgb="FFA162D0"/>
        </patternFill>
      </fill>
    </dxf>
    <dxf>
      <fill>
        <patternFill>
          <bgColor rgb="FFFF3F9F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69D8FF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9393"/>
        </patternFill>
      </fill>
    </dxf>
    <dxf>
      <font>
        <b/>
        <i val="0"/>
        <color rgb="FF008000"/>
      </font>
    </dxf>
    <dxf>
      <font>
        <color rgb="FFFF0000"/>
      </font>
    </dxf>
    <dxf>
      <font>
        <color theme="5"/>
      </font>
    </dxf>
    <dxf>
      <font>
        <color rgb="FFFFC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rgb="FFFFC000"/>
      </font>
    </dxf>
    <dxf>
      <fill>
        <patternFill>
          <bgColor rgb="FFFF3F9F"/>
        </patternFill>
      </fill>
    </dxf>
    <dxf>
      <fill>
        <patternFill>
          <bgColor rgb="FFA162D0"/>
        </patternFill>
      </fill>
    </dxf>
    <dxf>
      <font>
        <color rgb="FFFF0000"/>
      </font>
    </dxf>
    <dxf>
      <fill>
        <patternFill>
          <bgColor rgb="FF69D8FF"/>
        </patternFill>
      </fill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ill>
        <patternFill>
          <bgColor rgb="FFB6DF89"/>
        </patternFill>
      </fill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ill>
        <patternFill>
          <bgColor rgb="FFB6DF89"/>
        </patternFill>
      </fill>
    </dxf>
    <dxf>
      <fill>
        <patternFill>
          <bgColor rgb="FFFF3F9F"/>
        </patternFill>
      </fill>
    </dxf>
    <dxf>
      <fill>
        <patternFill>
          <bgColor rgb="FFA162D0"/>
        </patternFill>
      </fill>
    </dxf>
    <dxf>
      <font>
        <color rgb="FFFF0000"/>
      </font>
    </dxf>
    <dxf>
      <fill>
        <patternFill>
          <bgColor rgb="FF69D8FF"/>
        </patternFill>
      </fill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ill>
        <patternFill>
          <bgColor rgb="FFB6DF89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FF3F9F"/>
        </patternFill>
      </fill>
    </dxf>
    <dxf>
      <fill>
        <patternFill>
          <bgColor rgb="FFFFFF00"/>
        </patternFill>
      </fill>
    </dxf>
    <dxf>
      <fill>
        <patternFill>
          <bgColor rgb="FFEFC16D"/>
        </patternFill>
      </fill>
    </dxf>
    <dxf>
      <font>
        <color rgb="FFFF0000"/>
      </font>
    </dxf>
    <dxf>
      <fill>
        <patternFill>
          <bgColor rgb="FFFF9393"/>
        </patternFill>
      </fill>
    </dxf>
    <dxf>
      <font>
        <b/>
        <i val="0"/>
        <color rgb="FF008000"/>
      </font>
    </dxf>
    <dxf>
      <fill>
        <patternFill>
          <bgColor rgb="FFA162D0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E1F0FF"/>
      <color rgb="FFE1FFF5"/>
      <color rgb="FFFFFFAF"/>
      <color rgb="FFFFFF66"/>
      <color rgb="FF69D8FF"/>
      <color rgb="FFC2E49C"/>
      <color rgb="FFB2DE82"/>
      <color rgb="FFA162D0"/>
      <color rgb="FFFF3F9F"/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G84"/>
  <sheetViews>
    <sheetView showGridLines="0" tabSelected="1" zoomScale="91" zoomScaleNormal="91" zoomScaleSheetLayoutView="118" workbookViewId="0">
      <pane xSplit="1" topLeftCell="B1" activePane="topRight" state="frozen"/>
      <selection pane="topRight"/>
    </sheetView>
  </sheetViews>
  <sheetFormatPr baseColWidth="10" defaultRowHeight="12.75" x14ac:dyDescent="0.2"/>
  <cols>
    <col min="1" max="1" width="36.140625" customWidth="1"/>
    <col min="2" max="34" width="17.7109375" customWidth="1"/>
  </cols>
  <sheetData>
    <row r="1" spans="1:20" s="2" customFormat="1" ht="23.25" x14ac:dyDescent="0.35">
      <c r="A1" s="7" t="s">
        <v>153</v>
      </c>
      <c r="B1" s="2" t="s">
        <v>154</v>
      </c>
    </row>
    <row r="2" spans="1:20" s="2" customFormat="1" ht="23.25" x14ac:dyDescent="0.35">
      <c r="A2" s="7"/>
      <c r="B2" s="8" t="s">
        <v>207</v>
      </c>
    </row>
    <row r="3" spans="1:20" s="2" customFormat="1" ht="23.25" x14ac:dyDescent="0.35">
      <c r="A3" s="7"/>
      <c r="B3" s="51" t="s">
        <v>202</v>
      </c>
      <c r="C3"/>
      <c r="D3"/>
      <c r="E3"/>
      <c r="F3"/>
    </row>
    <row r="4" spans="1:20" ht="24.95" customHeight="1" x14ac:dyDescent="0.2">
      <c r="B4" s="95" t="s">
        <v>205</v>
      </c>
      <c r="C4" s="96"/>
      <c r="D4" s="96"/>
      <c r="E4" s="96"/>
      <c r="F4" s="96"/>
    </row>
    <row r="5" spans="1:20" x14ac:dyDescent="0.2">
      <c r="A5" s="148"/>
      <c r="B5" s="149"/>
      <c r="C5" s="12"/>
      <c r="D5" s="11"/>
      <c r="E5" s="11"/>
      <c r="F5" s="11"/>
      <c r="G5" s="11"/>
      <c r="H5" s="148" t="s">
        <v>29</v>
      </c>
      <c r="I5" s="11"/>
      <c r="J5" s="12"/>
    </row>
    <row r="6" spans="1:20" x14ac:dyDescent="0.2">
      <c r="A6" s="72" t="s">
        <v>38</v>
      </c>
      <c r="B6" s="128">
        <v>1.4</v>
      </c>
      <c r="C6" s="69" t="s">
        <v>86</v>
      </c>
      <c r="D6" s="9"/>
      <c r="E6" s="9"/>
      <c r="F6" s="9"/>
      <c r="G6" s="9"/>
      <c r="H6" s="20" t="s">
        <v>39</v>
      </c>
      <c r="I6" s="93">
        <v>0.31</v>
      </c>
      <c r="J6" s="19" t="s">
        <v>33</v>
      </c>
    </row>
    <row r="7" spans="1:20" x14ac:dyDescent="0.2">
      <c r="A7" s="72" t="s">
        <v>19</v>
      </c>
      <c r="B7" s="128">
        <v>12</v>
      </c>
      <c r="C7" s="69" t="s">
        <v>21</v>
      </c>
      <c r="D7" s="9"/>
      <c r="E7" s="9"/>
      <c r="F7" s="9"/>
      <c r="G7" s="9"/>
      <c r="H7" s="20" t="s">
        <v>30</v>
      </c>
      <c r="I7" s="93">
        <v>0.24</v>
      </c>
      <c r="J7" s="19" t="s">
        <v>33</v>
      </c>
      <c r="K7" s="6"/>
      <c r="L7" s="5"/>
      <c r="M7" s="4"/>
      <c r="N7" s="5"/>
      <c r="O7" s="4"/>
      <c r="P7" s="5"/>
      <c r="Q7" s="4"/>
      <c r="R7" s="4"/>
    </row>
    <row r="8" spans="1:20" x14ac:dyDescent="0.2">
      <c r="A8" s="72" t="s">
        <v>20</v>
      </c>
      <c r="B8" s="128">
        <v>40</v>
      </c>
      <c r="C8" s="69" t="s">
        <v>21</v>
      </c>
      <c r="D8" s="9"/>
      <c r="E8" s="9"/>
      <c r="F8" s="9"/>
      <c r="G8" s="9"/>
      <c r="H8" s="20" t="s">
        <v>22</v>
      </c>
      <c r="I8" s="93">
        <v>0.56000000000000005</v>
      </c>
      <c r="J8" s="19" t="s">
        <v>33</v>
      </c>
      <c r="K8" s="6"/>
      <c r="L8" s="5"/>
      <c r="M8" s="4"/>
      <c r="N8" s="5"/>
      <c r="O8" s="4"/>
      <c r="P8" s="5"/>
      <c r="Q8" s="4"/>
      <c r="R8" s="4"/>
    </row>
    <row r="9" spans="1:20" x14ac:dyDescent="0.2">
      <c r="A9" s="72" t="s">
        <v>155</v>
      </c>
      <c r="B9" s="128">
        <v>28</v>
      </c>
      <c r="C9" s="69" t="s">
        <v>21</v>
      </c>
      <c r="D9" s="9"/>
      <c r="E9" s="9"/>
      <c r="F9" s="9"/>
      <c r="G9" s="9"/>
      <c r="H9" s="13"/>
      <c r="I9" s="94"/>
      <c r="J9" s="14"/>
      <c r="K9" s="6"/>
      <c r="L9" s="5"/>
      <c r="M9" s="4"/>
      <c r="N9" s="5"/>
      <c r="O9" s="4"/>
      <c r="P9" s="5"/>
      <c r="Q9" s="4"/>
      <c r="R9" s="4"/>
    </row>
    <row r="10" spans="1:20" x14ac:dyDescent="0.2">
      <c r="A10" s="72" t="s">
        <v>110</v>
      </c>
      <c r="B10" s="128">
        <v>1000</v>
      </c>
      <c r="C10" s="68" t="s">
        <v>111</v>
      </c>
      <c r="D10" s="9"/>
      <c r="E10" s="9"/>
      <c r="F10" s="9"/>
      <c r="G10" s="9"/>
      <c r="H10" s="13"/>
      <c r="I10" s="94"/>
      <c r="J10" s="14"/>
      <c r="K10" s="6"/>
      <c r="L10" s="5"/>
      <c r="M10" s="4"/>
      <c r="N10" s="5"/>
      <c r="O10" s="4"/>
      <c r="P10" s="5"/>
      <c r="Q10" s="4"/>
      <c r="R10" s="4"/>
    </row>
    <row r="11" spans="1:20" x14ac:dyDescent="0.2">
      <c r="A11" s="72" t="s">
        <v>68</v>
      </c>
      <c r="B11" s="128">
        <v>0.5</v>
      </c>
      <c r="C11" s="68" t="s">
        <v>90</v>
      </c>
      <c r="D11" s="9"/>
      <c r="E11" s="9"/>
      <c r="F11" s="9"/>
      <c r="G11" s="9"/>
      <c r="H11" s="13"/>
      <c r="I11" s="94"/>
      <c r="J11" s="14"/>
      <c r="K11" s="6"/>
      <c r="L11" s="5"/>
      <c r="M11" s="4"/>
      <c r="N11" s="5"/>
      <c r="O11" s="4"/>
      <c r="P11" s="5"/>
      <c r="Q11" s="4"/>
      <c r="R11" s="4"/>
    </row>
    <row r="12" spans="1:20" x14ac:dyDescent="0.2">
      <c r="A12" s="110"/>
      <c r="B12" s="150"/>
      <c r="C12" s="16"/>
      <c r="D12" s="15"/>
      <c r="E12" s="15"/>
      <c r="F12" s="15"/>
      <c r="G12" s="15"/>
      <c r="H12" s="108"/>
      <c r="I12" s="151"/>
      <c r="J12" s="16"/>
      <c r="K12" s="6"/>
      <c r="L12" s="5"/>
      <c r="M12" s="4"/>
      <c r="N12" s="5"/>
      <c r="O12" s="4"/>
      <c r="P12" s="5"/>
      <c r="Q12" s="4"/>
      <c r="R12" s="5"/>
      <c r="S12" s="4"/>
      <c r="T12" s="4"/>
    </row>
    <row r="13" spans="1:20" x14ac:dyDescent="0.2">
      <c r="A13" s="1"/>
      <c r="K13" s="3"/>
      <c r="L13" s="6"/>
      <c r="M13" s="6"/>
      <c r="N13" s="5"/>
      <c r="O13" s="4"/>
      <c r="P13" s="5"/>
      <c r="Q13" s="4"/>
      <c r="R13" s="4"/>
    </row>
    <row r="14" spans="1:20" s="1" customFormat="1" x14ac:dyDescent="0.2">
      <c r="A14"/>
      <c r="B14" s="3"/>
      <c r="C14" s="3"/>
      <c r="D14" s="6"/>
      <c r="E14" s="6"/>
      <c r="F14" s="3"/>
      <c r="G14" s="3"/>
      <c r="H14" s="3"/>
      <c r="I14" s="3"/>
      <c r="J14" s="6"/>
      <c r="K14" s="6"/>
      <c r="L14" s="5"/>
      <c r="M14" s="4"/>
    </row>
    <row r="15" spans="1:20" s="1" customFormat="1" x14ac:dyDescent="0.2">
      <c r="A15" s="23" t="s">
        <v>0</v>
      </c>
      <c r="B15" s="24" t="s">
        <v>35</v>
      </c>
      <c r="C15" s="24" t="s">
        <v>160</v>
      </c>
      <c r="D15" s="24" t="s">
        <v>164</v>
      </c>
      <c r="E15" s="24" t="s">
        <v>165</v>
      </c>
      <c r="F15" s="24" t="s">
        <v>167</v>
      </c>
      <c r="G15" s="24" t="s">
        <v>168</v>
      </c>
      <c r="H15" s="26" t="s">
        <v>200</v>
      </c>
      <c r="I15" s="26" t="s">
        <v>201</v>
      </c>
      <c r="J15" s="25" t="s">
        <v>35</v>
      </c>
      <c r="K15" s="24" t="s">
        <v>160</v>
      </c>
      <c r="L15" s="24" t="s">
        <v>164</v>
      </c>
      <c r="M15" s="24" t="s">
        <v>165</v>
      </c>
      <c r="N15" s="24" t="s">
        <v>167</v>
      </c>
      <c r="O15" s="24" t="s">
        <v>168</v>
      </c>
      <c r="P15" s="26" t="s">
        <v>200</v>
      </c>
      <c r="Q15" s="26" t="s">
        <v>201</v>
      </c>
      <c r="R15" s="25" t="s">
        <v>35</v>
      </c>
      <c r="S15" s="24" t="s">
        <v>160</v>
      </c>
      <c r="T15" s="24" t="s">
        <v>165</v>
      </c>
    </row>
    <row r="16" spans="1:20" s="1" customFormat="1" x14ac:dyDescent="0.2">
      <c r="A16" s="21"/>
      <c r="B16" s="21" t="s">
        <v>197</v>
      </c>
      <c r="C16" s="21" t="s">
        <v>93</v>
      </c>
      <c r="D16" s="21" t="s">
        <v>93</v>
      </c>
      <c r="E16" s="21" t="s">
        <v>93</v>
      </c>
      <c r="F16" s="21" t="s">
        <v>93</v>
      </c>
      <c r="G16" s="21" t="s">
        <v>93</v>
      </c>
      <c r="H16" s="21" t="s">
        <v>93</v>
      </c>
      <c r="I16" s="21" t="s">
        <v>93</v>
      </c>
      <c r="J16" s="21" t="s">
        <v>198</v>
      </c>
      <c r="K16" s="21" t="s">
        <v>93</v>
      </c>
      <c r="L16" s="21" t="s">
        <v>93</v>
      </c>
      <c r="M16" s="21" t="s">
        <v>93</v>
      </c>
      <c r="N16" s="21" t="s">
        <v>93</v>
      </c>
      <c r="O16" s="21" t="s">
        <v>93</v>
      </c>
      <c r="P16" s="21" t="s">
        <v>93</v>
      </c>
      <c r="Q16" s="21" t="s">
        <v>93</v>
      </c>
      <c r="R16" s="21" t="s">
        <v>199</v>
      </c>
      <c r="S16" s="21" t="s">
        <v>93</v>
      </c>
      <c r="T16" s="21" t="s">
        <v>93</v>
      </c>
    </row>
    <row r="17" spans="1:59" s="1" customFormat="1" x14ac:dyDescent="0.2">
      <c r="A17" s="21"/>
      <c r="B17" s="21"/>
      <c r="C17" s="21" t="s">
        <v>94</v>
      </c>
      <c r="D17" s="21" t="s">
        <v>94</v>
      </c>
      <c r="E17" s="21" t="s">
        <v>94</v>
      </c>
      <c r="F17" s="21" t="s">
        <v>94</v>
      </c>
      <c r="G17" s="21" t="s">
        <v>94</v>
      </c>
      <c r="H17" s="21" t="s">
        <v>94</v>
      </c>
      <c r="I17" s="21" t="s">
        <v>94</v>
      </c>
      <c r="J17" s="21"/>
      <c r="K17" s="21" t="s">
        <v>94</v>
      </c>
      <c r="L17" s="21" t="s">
        <v>94</v>
      </c>
      <c r="M17" s="21" t="s">
        <v>94</v>
      </c>
      <c r="N17" s="21" t="s">
        <v>94</v>
      </c>
      <c r="O17" s="21" t="s">
        <v>94</v>
      </c>
      <c r="P17" s="21" t="s">
        <v>94</v>
      </c>
      <c r="Q17" s="21" t="s">
        <v>94</v>
      </c>
      <c r="R17" s="21"/>
      <c r="S17" s="21" t="s">
        <v>94</v>
      </c>
      <c r="T17" s="21" t="s">
        <v>94</v>
      </c>
    </row>
    <row r="18" spans="1:59" s="1" customFormat="1" x14ac:dyDescent="0.2">
      <c r="A18" s="21"/>
      <c r="B18" s="21"/>
      <c r="C18" s="21" t="s">
        <v>95</v>
      </c>
      <c r="D18" s="21" t="s">
        <v>95</v>
      </c>
      <c r="E18" s="21" t="s">
        <v>95</v>
      </c>
      <c r="F18" s="21" t="s">
        <v>98</v>
      </c>
      <c r="G18" s="21" t="s">
        <v>98</v>
      </c>
      <c r="H18" s="21" t="s">
        <v>171</v>
      </c>
      <c r="I18" s="21" t="s">
        <v>96</v>
      </c>
      <c r="J18" s="21"/>
      <c r="K18" s="21" t="s">
        <v>95</v>
      </c>
      <c r="L18" s="21" t="s">
        <v>95</v>
      </c>
      <c r="M18" s="21" t="s">
        <v>95</v>
      </c>
      <c r="N18" s="21" t="s">
        <v>98</v>
      </c>
      <c r="O18" s="21" t="s">
        <v>98</v>
      </c>
      <c r="P18" s="21" t="s">
        <v>171</v>
      </c>
      <c r="Q18" s="21" t="s">
        <v>96</v>
      </c>
      <c r="R18" s="21"/>
      <c r="S18" s="21" t="s">
        <v>95</v>
      </c>
      <c r="T18" s="21" t="s">
        <v>95</v>
      </c>
    </row>
    <row r="19" spans="1:59" s="1" customFormat="1" x14ac:dyDescent="0.2">
      <c r="A19" s="21"/>
      <c r="B19" s="21"/>
      <c r="C19" s="21" t="s">
        <v>161</v>
      </c>
      <c r="D19" s="21" t="s">
        <v>161</v>
      </c>
      <c r="E19" s="21" t="s">
        <v>161</v>
      </c>
      <c r="F19" s="21" t="s">
        <v>161</v>
      </c>
      <c r="G19" s="21" t="s">
        <v>161</v>
      </c>
      <c r="H19" s="21" t="s">
        <v>169</v>
      </c>
      <c r="I19" s="21" t="s">
        <v>172</v>
      </c>
      <c r="J19" s="21"/>
      <c r="K19" s="21" t="s">
        <v>161</v>
      </c>
      <c r="L19" s="21" t="s">
        <v>161</v>
      </c>
      <c r="M19" s="21" t="s">
        <v>161</v>
      </c>
      <c r="N19" s="21" t="s">
        <v>161</v>
      </c>
      <c r="O19" s="21" t="s">
        <v>161</v>
      </c>
      <c r="P19" s="21" t="s">
        <v>169</v>
      </c>
      <c r="Q19" s="21" t="s">
        <v>172</v>
      </c>
      <c r="R19" s="21"/>
      <c r="S19" s="21" t="s">
        <v>161</v>
      </c>
      <c r="T19" s="21" t="s">
        <v>161</v>
      </c>
    </row>
    <row r="20" spans="1:59" s="1" customFormat="1" x14ac:dyDescent="0.2">
      <c r="A20" s="27"/>
      <c r="B20" s="27"/>
      <c r="C20" s="27" t="s">
        <v>163</v>
      </c>
      <c r="D20" s="27" t="s">
        <v>162</v>
      </c>
      <c r="E20" s="27" t="s">
        <v>166</v>
      </c>
      <c r="F20" s="27" t="s">
        <v>162</v>
      </c>
      <c r="G20" s="27" t="s">
        <v>166</v>
      </c>
      <c r="H20" s="27" t="s">
        <v>170</v>
      </c>
      <c r="I20" s="27" t="s">
        <v>170</v>
      </c>
      <c r="J20" s="27"/>
      <c r="K20" s="27" t="s">
        <v>163</v>
      </c>
      <c r="L20" s="27" t="s">
        <v>162</v>
      </c>
      <c r="M20" s="27" t="s">
        <v>166</v>
      </c>
      <c r="N20" s="27" t="s">
        <v>162</v>
      </c>
      <c r="O20" s="27" t="s">
        <v>166</v>
      </c>
      <c r="P20" s="27" t="s">
        <v>170</v>
      </c>
      <c r="Q20" s="27" t="s">
        <v>170</v>
      </c>
      <c r="R20" s="27"/>
      <c r="S20" s="27" t="s">
        <v>163</v>
      </c>
      <c r="T20" s="27" t="s">
        <v>166</v>
      </c>
    </row>
    <row r="21" spans="1:59" s="1" customFormat="1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</row>
    <row r="22" spans="1:59" s="1" customFormat="1" x14ac:dyDescent="0.2">
      <c r="A22" s="72" t="s">
        <v>52</v>
      </c>
      <c r="B22" s="121">
        <v>2500</v>
      </c>
      <c r="C22" s="121"/>
      <c r="D22" s="121"/>
      <c r="E22" s="121"/>
      <c r="F22" s="121"/>
      <c r="G22" s="122"/>
      <c r="H22" s="122"/>
      <c r="I22" s="122"/>
      <c r="J22" s="122"/>
      <c r="K22" s="121"/>
      <c r="L22" s="121"/>
      <c r="M22" s="121"/>
      <c r="N22" s="121"/>
      <c r="O22" s="122"/>
      <c r="P22" s="122"/>
      <c r="Q22" s="122"/>
      <c r="R22" s="122"/>
      <c r="S22" s="121"/>
      <c r="T22" s="121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</row>
    <row r="23" spans="1:59" s="1" customFormat="1" x14ac:dyDescent="0.2">
      <c r="A23" s="72" t="s">
        <v>71</v>
      </c>
      <c r="B23" s="123"/>
      <c r="C23" s="123"/>
      <c r="D23" s="123"/>
      <c r="E23" s="123"/>
      <c r="F23" s="123"/>
      <c r="G23" s="123"/>
      <c r="H23" s="123"/>
      <c r="I23" s="123"/>
      <c r="J23" s="124">
        <v>15000</v>
      </c>
      <c r="K23" s="123"/>
      <c r="L23" s="123"/>
      <c r="M23" s="123"/>
      <c r="N23" s="123"/>
      <c r="O23" s="123"/>
      <c r="P23" s="123"/>
      <c r="Q23" s="123"/>
      <c r="R23" s="124">
        <v>5500</v>
      </c>
      <c r="S23" s="123"/>
      <c r="T23" s="12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</row>
    <row r="24" spans="1:59" s="1" customFormat="1" x14ac:dyDescent="0.2">
      <c r="A24" s="72" t="s">
        <v>209</v>
      </c>
      <c r="B24" s="162">
        <v>120</v>
      </c>
      <c r="C24" s="162">
        <v>120</v>
      </c>
      <c r="D24" s="162">
        <v>120</v>
      </c>
      <c r="E24" s="162">
        <v>120</v>
      </c>
      <c r="F24" s="162">
        <v>120</v>
      </c>
      <c r="G24" s="162">
        <v>120</v>
      </c>
      <c r="H24" s="162">
        <v>120</v>
      </c>
      <c r="I24" s="162">
        <v>120</v>
      </c>
      <c r="J24" s="162">
        <v>140</v>
      </c>
      <c r="K24" s="162">
        <v>140</v>
      </c>
      <c r="L24" s="162">
        <v>140</v>
      </c>
      <c r="M24" s="162">
        <v>140</v>
      </c>
      <c r="N24" s="162">
        <v>140</v>
      </c>
      <c r="O24" s="162">
        <v>140</v>
      </c>
      <c r="P24" s="162">
        <v>140</v>
      </c>
      <c r="Q24" s="162">
        <v>140</v>
      </c>
      <c r="R24" s="162">
        <v>120</v>
      </c>
      <c r="S24" s="162">
        <v>120</v>
      </c>
      <c r="T24" s="162">
        <v>120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</row>
    <row r="25" spans="1:59" s="1" customFormat="1" x14ac:dyDescent="0.2">
      <c r="A25" s="36"/>
      <c r="B25" s="136"/>
      <c r="C25" s="136"/>
      <c r="D25" s="136"/>
      <c r="E25" s="136"/>
      <c r="F25" s="136"/>
      <c r="G25" s="136"/>
      <c r="H25" s="136"/>
      <c r="I25" s="136"/>
      <c r="J25" s="139"/>
      <c r="K25" s="136"/>
      <c r="L25" s="136"/>
      <c r="M25" s="136"/>
      <c r="N25" s="136"/>
      <c r="O25" s="136"/>
      <c r="P25" s="136"/>
      <c r="Q25" s="136"/>
      <c r="R25" s="139"/>
      <c r="S25" s="136"/>
      <c r="T25" s="136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</row>
    <row r="26" spans="1:59" s="1" customFormat="1" x14ac:dyDescent="0.2">
      <c r="A26" s="72" t="s">
        <v>91</v>
      </c>
      <c r="B26" s="123"/>
      <c r="C26" s="146">
        <v>3</v>
      </c>
      <c r="D26" s="146">
        <v>3</v>
      </c>
      <c r="E26" s="146">
        <v>3</v>
      </c>
      <c r="F26" s="146">
        <v>12</v>
      </c>
      <c r="G26" s="146">
        <v>12</v>
      </c>
      <c r="H26" s="146">
        <v>19.3</v>
      </c>
      <c r="I26" s="146">
        <v>17.5</v>
      </c>
      <c r="J26" s="147"/>
      <c r="K26" s="146">
        <v>6</v>
      </c>
      <c r="L26" s="146">
        <v>6</v>
      </c>
      <c r="M26" s="146">
        <v>6</v>
      </c>
      <c r="N26" s="146">
        <v>12</v>
      </c>
      <c r="O26" s="146">
        <v>12</v>
      </c>
      <c r="P26" s="146">
        <v>8</v>
      </c>
      <c r="Q26" s="146">
        <v>12</v>
      </c>
      <c r="R26" s="147"/>
      <c r="S26" s="146">
        <v>6</v>
      </c>
      <c r="T26" s="146">
        <v>6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</row>
    <row r="27" spans="1:59" s="1" customFormat="1" x14ac:dyDescent="0.2">
      <c r="A27" s="72" t="s">
        <v>208</v>
      </c>
      <c r="B27" s="123"/>
      <c r="C27" s="125">
        <v>1.1000000000000001</v>
      </c>
      <c r="D27" s="125">
        <v>1.1000000000000001</v>
      </c>
      <c r="E27" s="125">
        <v>1.1000000000000001</v>
      </c>
      <c r="F27" s="125">
        <v>1.1000000000000001</v>
      </c>
      <c r="G27" s="125">
        <v>1.1000000000000001</v>
      </c>
      <c r="H27" s="125">
        <v>1.1000000000000001</v>
      </c>
      <c r="I27" s="125">
        <v>1.1000000000000001</v>
      </c>
      <c r="J27" s="122"/>
      <c r="K27" s="125">
        <v>1.1000000000000001</v>
      </c>
      <c r="L27" s="125">
        <v>1.1000000000000001</v>
      </c>
      <c r="M27" s="125">
        <v>1.1000000000000001</v>
      </c>
      <c r="N27" s="125">
        <v>1.1000000000000001</v>
      </c>
      <c r="O27" s="125">
        <v>1.1000000000000001</v>
      </c>
      <c r="P27" s="125">
        <v>1.1000000000000001</v>
      </c>
      <c r="Q27" s="125">
        <v>1.1000000000000001</v>
      </c>
      <c r="R27" s="122"/>
      <c r="S27" s="125">
        <v>1.1000000000000001</v>
      </c>
      <c r="T27" s="125">
        <v>1.1000000000000001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</row>
    <row r="28" spans="1:59" s="1" customFormat="1" x14ac:dyDescent="0.2">
      <c r="A28" s="72" t="s">
        <v>156</v>
      </c>
      <c r="B28" s="123"/>
      <c r="C28" s="140">
        <v>1</v>
      </c>
      <c r="D28" s="140">
        <v>8.3000000000000007</v>
      </c>
      <c r="E28" s="140">
        <v>8.3000000000000007</v>
      </c>
      <c r="F28" s="140">
        <v>6.2</v>
      </c>
      <c r="G28" s="140">
        <v>6.2</v>
      </c>
      <c r="H28" s="140">
        <v>10.6</v>
      </c>
      <c r="I28" s="140">
        <v>10.6</v>
      </c>
      <c r="J28" s="141"/>
      <c r="K28" s="140">
        <v>2</v>
      </c>
      <c r="L28" s="140">
        <v>5.5</v>
      </c>
      <c r="M28" s="140">
        <v>5.5</v>
      </c>
      <c r="N28" s="140">
        <v>4.0999999999999996</v>
      </c>
      <c r="O28" s="140">
        <v>4.0999999999999996</v>
      </c>
      <c r="P28" s="140">
        <v>7.3</v>
      </c>
      <c r="Q28" s="140">
        <v>7.3</v>
      </c>
      <c r="R28" s="141"/>
      <c r="S28" s="140">
        <v>2</v>
      </c>
      <c r="T28" s="140">
        <v>1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</row>
    <row r="29" spans="1:59" s="1" customFormat="1" x14ac:dyDescent="0.2">
      <c r="A29" s="72" t="s">
        <v>157</v>
      </c>
      <c r="B29" s="123"/>
      <c r="C29" s="142">
        <v>3</v>
      </c>
      <c r="D29" s="142">
        <v>4.5</v>
      </c>
      <c r="E29" s="142">
        <v>4</v>
      </c>
      <c r="F29" s="142">
        <v>4.5</v>
      </c>
      <c r="G29" s="142">
        <v>4</v>
      </c>
      <c r="H29" s="142">
        <v>4</v>
      </c>
      <c r="I29" s="142">
        <v>4.5</v>
      </c>
      <c r="J29" s="143"/>
      <c r="K29" s="142">
        <v>3</v>
      </c>
      <c r="L29" s="142">
        <v>4.5</v>
      </c>
      <c r="M29" s="142">
        <v>4</v>
      </c>
      <c r="N29" s="142">
        <v>4.5</v>
      </c>
      <c r="O29" s="142">
        <v>4</v>
      </c>
      <c r="P29" s="142">
        <v>4</v>
      </c>
      <c r="Q29" s="142">
        <v>4.5</v>
      </c>
      <c r="R29" s="143"/>
      <c r="S29" s="142">
        <v>3</v>
      </c>
      <c r="T29" s="142">
        <v>4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</row>
    <row r="30" spans="1:59" s="1" customFormat="1" x14ac:dyDescent="0.2">
      <c r="A30" s="72" t="s">
        <v>189</v>
      </c>
      <c r="B30" s="123"/>
      <c r="C30" s="144"/>
      <c r="D30" s="144">
        <v>170</v>
      </c>
      <c r="E30" s="144"/>
      <c r="F30" s="144">
        <v>130</v>
      </c>
      <c r="G30" s="144"/>
      <c r="H30" s="144"/>
      <c r="I30" s="144"/>
      <c r="J30" s="145"/>
      <c r="K30" s="144"/>
      <c r="L30" s="144">
        <v>110</v>
      </c>
      <c r="M30" s="144"/>
      <c r="N30" s="144">
        <v>80</v>
      </c>
      <c r="O30" s="144"/>
      <c r="P30" s="144"/>
      <c r="Q30" s="144"/>
      <c r="R30" s="145"/>
      <c r="S30" s="144"/>
      <c r="T30" s="144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</row>
    <row r="31" spans="1:59" s="1" customFormat="1" x14ac:dyDescent="0.2">
      <c r="A31" s="72" t="s">
        <v>92</v>
      </c>
      <c r="B31" s="123"/>
      <c r="C31" s="126"/>
      <c r="D31" s="126">
        <v>35</v>
      </c>
      <c r="E31" s="126">
        <v>35</v>
      </c>
      <c r="F31" s="126">
        <v>35</v>
      </c>
      <c r="G31" s="126">
        <v>35</v>
      </c>
      <c r="H31" s="126">
        <v>35</v>
      </c>
      <c r="I31" s="126">
        <v>35</v>
      </c>
      <c r="J31" s="122"/>
      <c r="K31" s="126"/>
      <c r="L31" s="126">
        <v>35</v>
      </c>
      <c r="M31" s="126">
        <v>35</v>
      </c>
      <c r="N31" s="126">
        <v>35</v>
      </c>
      <c r="O31" s="126">
        <v>35</v>
      </c>
      <c r="P31" s="126">
        <v>35</v>
      </c>
      <c r="Q31" s="126">
        <v>35</v>
      </c>
      <c r="R31" s="122"/>
      <c r="S31" s="126"/>
      <c r="T31" s="126">
        <v>35</v>
      </c>
    </row>
    <row r="32" spans="1:59" s="1" customFormat="1" x14ac:dyDescent="0.2">
      <c r="A32" s="36"/>
      <c r="B32" s="136"/>
      <c r="C32" s="137"/>
      <c r="D32" s="137"/>
      <c r="E32" s="137"/>
      <c r="F32" s="137"/>
      <c r="G32" s="137"/>
      <c r="H32" s="137"/>
      <c r="I32" s="137"/>
      <c r="J32" s="138"/>
      <c r="K32" s="137"/>
      <c r="L32" s="137"/>
      <c r="M32" s="137"/>
      <c r="N32" s="137"/>
      <c r="O32" s="137"/>
      <c r="P32" s="137"/>
      <c r="Q32" s="137"/>
      <c r="R32" s="138"/>
      <c r="S32" s="137"/>
      <c r="T32" s="137"/>
    </row>
    <row r="33" spans="1:20" s="1" customFormat="1" x14ac:dyDescent="0.2">
      <c r="A33" s="72" t="s">
        <v>7</v>
      </c>
      <c r="B33" s="87"/>
      <c r="C33" s="87">
        <v>4000</v>
      </c>
      <c r="D33" s="87">
        <v>24000</v>
      </c>
      <c r="E33" s="87">
        <v>29000</v>
      </c>
      <c r="F33" s="87">
        <v>19000</v>
      </c>
      <c r="G33" s="87">
        <v>24000</v>
      </c>
      <c r="H33" s="87">
        <v>30000</v>
      </c>
      <c r="I33" s="87">
        <v>30000</v>
      </c>
      <c r="J33" s="87"/>
      <c r="K33" s="87">
        <v>4000</v>
      </c>
      <c r="L33" s="87">
        <v>17000</v>
      </c>
      <c r="M33" s="87">
        <v>22000</v>
      </c>
      <c r="N33" s="87">
        <v>13000</v>
      </c>
      <c r="O33" s="87">
        <v>18000</v>
      </c>
      <c r="P33" s="87">
        <v>21000</v>
      </c>
      <c r="Q33" s="87">
        <v>21000</v>
      </c>
      <c r="R33" s="87"/>
      <c r="S33" s="87">
        <v>4000</v>
      </c>
      <c r="T33" s="87">
        <v>10000</v>
      </c>
    </row>
    <row r="34" spans="1:20" s="1" customFormat="1" x14ac:dyDescent="0.2">
      <c r="A34" s="72" t="s">
        <v>175</v>
      </c>
      <c r="B34" s="87"/>
      <c r="C34" s="87"/>
      <c r="D34" s="87">
        <v>20060</v>
      </c>
      <c r="E34" s="87">
        <v>0</v>
      </c>
      <c r="F34" s="87">
        <v>15340</v>
      </c>
      <c r="G34" s="87">
        <v>0</v>
      </c>
      <c r="H34" s="87">
        <v>0</v>
      </c>
      <c r="I34" s="87">
        <v>0</v>
      </c>
      <c r="J34" s="87"/>
      <c r="K34" s="87"/>
      <c r="L34" s="87">
        <v>12980</v>
      </c>
      <c r="M34" s="87">
        <v>0</v>
      </c>
      <c r="N34" s="87">
        <v>9440</v>
      </c>
      <c r="O34" s="87">
        <v>0</v>
      </c>
      <c r="P34" s="87">
        <v>0</v>
      </c>
      <c r="Q34" s="87">
        <v>0</v>
      </c>
      <c r="R34" s="87"/>
      <c r="S34" s="87"/>
      <c r="T34" s="87">
        <v>0</v>
      </c>
    </row>
    <row r="35" spans="1:20" s="1" customFormat="1" x14ac:dyDescent="0.2">
      <c r="A35" s="72" t="s">
        <v>37</v>
      </c>
      <c r="B35" s="87"/>
      <c r="C35" s="87"/>
      <c r="D35" s="87">
        <v>-9330</v>
      </c>
      <c r="E35" s="87">
        <v>-9330</v>
      </c>
      <c r="F35" s="87">
        <v>-9330</v>
      </c>
      <c r="G35" s="87">
        <v>-9330</v>
      </c>
      <c r="H35" s="87">
        <v>-9330</v>
      </c>
      <c r="I35" s="87">
        <v>-9330</v>
      </c>
      <c r="J35" s="87"/>
      <c r="K35" s="87"/>
      <c r="L35" s="87">
        <v>-8000</v>
      </c>
      <c r="M35" s="87">
        <v>-8000</v>
      </c>
      <c r="N35" s="87">
        <v>-8000</v>
      </c>
      <c r="O35" s="87">
        <v>-8000</v>
      </c>
      <c r="P35" s="87">
        <v>-8000</v>
      </c>
      <c r="Q35" s="87">
        <v>-8000</v>
      </c>
      <c r="R35" s="87"/>
      <c r="S35" s="87"/>
      <c r="T35" s="87">
        <v>-6000</v>
      </c>
    </row>
    <row r="36" spans="1:20" s="1" customFormat="1" x14ac:dyDescent="0.2">
      <c r="A36" s="72" t="s">
        <v>36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</row>
    <row r="37" spans="1:20" s="1" customFormat="1" x14ac:dyDescent="0.2">
      <c r="A37" s="72" t="s">
        <v>188</v>
      </c>
      <c r="B37" s="87"/>
      <c r="C37" s="87">
        <v>-4000</v>
      </c>
      <c r="D37" s="87"/>
      <c r="E37" s="87"/>
      <c r="F37" s="87"/>
      <c r="G37" s="87"/>
      <c r="H37" s="87">
        <v>15000</v>
      </c>
      <c r="I37" s="87">
        <v>15000</v>
      </c>
      <c r="J37" s="87"/>
      <c r="K37" s="87">
        <v>-4000</v>
      </c>
      <c r="L37" s="87"/>
      <c r="M37" s="87"/>
      <c r="N37" s="87"/>
      <c r="O37" s="87"/>
      <c r="P37" s="87">
        <v>15000</v>
      </c>
      <c r="Q37" s="87">
        <v>15000</v>
      </c>
      <c r="R37" s="87"/>
      <c r="S37" s="87"/>
      <c r="T37" s="87"/>
    </row>
    <row r="38" spans="1:20" s="1" customFormat="1" x14ac:dyDescent="0.2">
      <c r="A38" s="72" t="s">
        <v>6</v>
      </c>
      <c r="B38" s="87"/>
      <c r="C38" s="87">
        <v>8000</v>
      </c>
      <c r="D38" s="87">
        <v>8000</v>
      </c>
      <c r="E38" s="87">
        <v>8000</v>
      </c>
      <c r="F38" s="87">
        <v>13000</v>
      </c>
      <c r="G38" s="87">
        <v>13000</v>
      </c>
      <c r="H38" s="87">
        <v>11650</v>
      </c>
      <c r="I38" s="87">
        <v>14250</v>
      </c>
      <c r="J38" s="87"/>
      <c r="K38" s="87">
        <v>8000</v>
      </c>
      <c r="L38" s="87">
        <v>8000</v>
      </c>
      <c r="M38" s="87">
        <v>8000</v>
      </c>
      <c r="N38" s="87">
        <v>13000</v>
      </c>
      <c r="O38" s="87">
        <v>13000</v>
      </c>
      <c r="P38" s="87">
        <v>6000</v>
      </c>
      <c r="Q38" s="87">
        <v>10400</v>
      </c>
      <c r="R38" s="87"/>
      <c r="S38" s="87">
        <v>4000</v>
      </c>
      <c r="T38" s="87">
        <v>8000</v>
      </c>
    </row>
    <row r="39" spans="1:20" s="1" customFormat="1" x14ac:dyDescent="0.2">
      <c r="A39" s="72" t="s">
        <v>11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</row>
    <row r="40" spans="1:20" s="1" customFormat="1" x14ac:dyDescent="0.2">
      <c r="A40" s="72" t="s">
        <v>8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</row>
    <row r="41" spans="1:20" s="1" customFormat="1" x14ac:dyDescent="0.2">
      <c r="A41" s="72" t="s">
        <v>9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</row>
    <row r="42" spans="1:20" s="1" customFormat="1" x14ac:dyDescent="0.2">
      <c r="A42" s="72" t="s">
        <v>10</v>
      </c>
      <c r="B42" s="87"/>
      <c r="C42" s="87"/>
      <c r="D42" s="87">
        <v>6000</v>
      </c>
      <c r="E42" s="87">
        <v>6000</v>
      </c>
      <c r="F42" s="87">
        <v>6000</v>
      </c>
      <c r="G42" s="87">
        <v>6000</v>
      </c>
      <c r="H42" s="87">
        <v>6000</v>
      </c>
      <c r="I42" s="87">
        <v>6000</v>
      </c>
      <c r="J42" s="87"/>
      <c r="K42" s="87"/>
      <c r="L42" s="87">
        <v>6000</v>
      </c>
      <c r="M42" s="87">
        <v>6000</v>
      </c>
      <c r="N42" s="87">
        <v>6000</v>
      </c>
      <c r="O42" s="87">
        <v>6000</v>
      </c>
      <c r="P42" s="87">
        <v>6000</v>
      </c>
      <c r="Q42" s="87">
        <v>6000</v>
      </c>
      <c r="R42" s="87"/>
      <c r="S42" s="87"/>
      <c r="T42" s="87">
        <v>0</v>
      </c>
    </row>
    <row r="43" spans="1:20" x14ac:dyDescent="0.2">
      <c r="A43" s="88" t="s">
        <v>12</v>
      </c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</row>
    <row r="44" spans="1:20" x14ac:dyDescent="0.2">
      <c r="A44" s="28" t="s">
        <v>1</v>
      </c>
      <c r="B44" s="29">
        <f>SUM(B33:B43)</f>
        <v>0</v>
      </c>
      <c r="C44" s="29">
        <f>SUM(C33:C43)</f>
        <v>8000</v>
      </c>
      <c r="D44" s="29">
        <f t="shared" ref="D44:I44" si="0">SUM(D33:D43)</f>
        <v>48730</v>
      </c>
      <c r="E44" s="29">
        <f t="shared" si="0"/>
        <v>33670</v>
      </c>
      <c r="F44" s="29">
        <f t="shared" si="0"/>
        <v>44010</v>
      </c>
      <c r="G44" s="29">
        <f t="shared" si="0"/>
        <v>33670</v>
      </c>
      <c r="H44" s="29">
        <f t="shared" si="0"/>
        <v>53320</v>
      </c>
      <c r="I44" s="29">
        <f t="shared" si="0"/>
        <v>55920</v>
      </c>
      <c r="J44" s="29">
        <v>0</v>
      </c>
      <c r="K44" s="29">
        <f>SUM(K33:K43)</f>
        <v>8000</v>
      </c>
      <c r="L44" s="29">
        <f t="shared" ref="L44" si="1">SUM(L33:L43)</f>
        <v>35980</v>
      </c>
      <c r="M44" s="29">
        <f t="shared" ref="M44" si="2">SUM(M33:M43)</f>
        <v>28000</v>
      </c>
      <c r="N44" s="29">
        <f t="shared" ref="N44" si="3">SUM(N33:N43)</f>
        <v>33440</v>
      </c>
      <c r="O44" s="29">
        <f t="shared" ref="O44" si="4">SUM(O33:O43)</f>
        <v>29000</v>
      </c>
      <c r="P44" s="29">
        <f t="shared" ref="P44" si="5">SUM(P33:P43)</f>
        <v>40000</v>
      </c>
      <c r="Q44" s="29">
        <f t="shared" ref="Q44" si="6">SUM(Q33:Q43)</f>
        <v>44400</v>
      </c>
      <c r="R44" s="29">
        <f t="shared" ref="R44" si="7">SUM(R33:R43)</f>
        <v>0</v>
      </c>
      <c r="S44" s="29">
        <f>SUM(S33:S43)</f>
        <v>8000</v>
      </c>
      <c r="T44" s="29">
        <f t="shared" ref="T44" si="8">SUM(T33:T43)</f>
        <v>12000</v>
      </c>
    </row>
    <row r="45" spans="1:20" x14ac:dyDescent="0.2">
      <c r="A45" s="23" t="s">
        <v>60</v>
      </c>
      <c r="B45" s="92"/>
      <c r="C45" s="92">
        <v>8000</v>
      </c>
      <c r="D45" s="92">
        <v>30000</v>
      </c>
      <c r="E45" s="92">
        <v>30000</v>
      </c>
      <c r="F45" s="92">
        <v>30000</v>
      </c>
      <c r="G45" s="92">
        <v>30000</v>
      </c>
      <c r="H45" s="92">
        <v>30000</v>
      </c>
      <c r="I45" s="92">
        <v>30000</v>
      </c>
      <c r="J45" s="92"/>
      <c r="K45" s="92">
        <v>8000</v>
      </c>
      <c r="L45" s="92">
        <v>30000</v>
      </c>
      <c r="M45" s="92">
        <v>30000</v>
      </c>
      <c r="N45" s="92">
        <v>30000</v>
      </c>
      <c r="O45" s="92">
        <v>30000</v>
      </c>
      <c r="P45" s="92">
        <v>30000</v>
      </c>
      <c r="Q45" s="92">
        <v>30000</v>
      </c>
      <c r="R45" s="92"/>
      <c r="S45" s="92">
        <v>0</v>
      </c>
      <c r="T45" s="92">
        <v>0</v>
      </c>
    </row>
    <row r="46" spans="1:20" x14ac:dyDescent="0.2">
      <c r="A46" s="23" t="s">
        <v>61</v>
      </c>
      <c r="B46" s="92"/>
      <c r="C46" s="92">
        <v>4800</v>
      </c>
      <c r="D46" s="92">
        <v>21000</v>
      </c>
      <c r="E46" s="92">
        <v>21000</v>
      </c>
      <c r="F46" s="92">
        <v>21000</v>
      </c>
      <c r="G46" s="92">
        <v>21000</v>
      </c>
      <c r="H46" s="92">
        <v>21000</v>
      </c>
      <c r="I46" s="92">
        <v>21000</v>
      </c>
      <c r="J46" s="92"/>
      <c r="K46" s="92">
        <v>4800</v>
      </c>
      <c r="L46" s="92">
        <v>21000</v>
      </c>
      <c r="M46" s="92">
        <v>21000</v>
      </c>
      <c r="N46" s="92">
        <v>21000</v>
      </c>
      <c r="O46" s="92">
        <v>21000</v>
      </c>
      <c r="P46" s="92">
        <v>21000</v>
      </c>
      <c r="Q46" s="92">
        <v>21000</v>
      </c>
      <c r="R46" s="92"/>
      <c r="S46" s="92">
        <v>0</v>
      </c>
      <c r="T46" s="92">
        <v>0</v>
      </c>
    </row>
    <row r="47" spans="1:20" x14ac:dyDescent="0.2">
      <c r="A47" s="23" t="s">
        <v>62</v>
      </c>
      <c r="B47" s="92"/>
      <c r="C47" s="92">
        <v>0</v>
      </c>
      <c r="D47" s="92">
        <v>0</v>
      </c>
      <c r="E47" s="92">
        <v>0</v>
      </c>
      <c r="F47" s="92">
        <v>0</v>
      </c>
      <c r="G47" s="92">
        <v>0</v>
      </c>
      <c r="H47" s="92">
        <v>0</v>
      </c>
      <c r="I47" s="92">
        <v>0</v>
      </c>
      <c r="J47" s="92"/>
      <c r="K47" s="92">
        <v>0</v>
      </c>
      <c r="L47" s="92">
        <v>0</v>
      </c>
      <c r="M47" s="92">
        <v>0</v>
      </c>
      <c r="N47" s="92">
        <v>0</v>
      </c>
      <c r="O47" s="92">
        <v>0</v>
      </c>
      <c r="P47" s="92">
        <v>0</v>
      </c>
      <c r="Q47" s="92">
        <v>0</v>
      </c>
      <c r="R47" s="92"/>
      <c r="S47" s="92">
        <v>0</v>
      </c>
      <c r="T47" s="92">
        <v>0</v>
      </c>
    </row>
    <row r="48" spans="1:20" x14ac:dyDescent="0.2">
      <c r="A48" s="32" t="s">
        <v>5</v>
      </c>
      <c r="B48" s="30"/>
      <c r="C48" s="30">
        <f>C46</f>
        <v>4800</v>
      </c>
      <c r="D48" s="30">
        <f t="shared" ref="D48:I48" si="9">D46</f>
        <v>21000</v>
      </c>
      <c r="E48" s="30">
        <f t="shared" si="9"/>
        <v>21000</v>
      </c>
      <c r="F48" s="30">
        <f t="shared" si="9"/>
        <v>21000</v>
      </c>
      <c r="G48" s="30">
        <f t="shared" si="9"/>
        <v>21000</v>
      </c>
      <c r="H48" s="30">
        <f t="shared" si="9"/>
        <v>21000</v>
      </c>
      <c r="I48" s="30">
        <f t="shared" si="9"/>
        <v>21000</v>
      </c>
      <c r="J48" s="30"/>
      <c r="K48" s="30">
        <f>K46</f>
        <v>4800</v>
      </c>
      <c r="L48" s="30">
        <f t="shared" ref="L48:Q48" si="10">L46</f>
        <v>21000</v>
      </c>
      <c r="M48" s="30">
        <f t="shared" si="10"/>
        <v>21000</v>
      </c>
      <c r="N48" s="30">
        <f t="shared" si="10"/>
        <v>21000</v>
      </c>
      <c r="O48" s="30">
        <f t="shared" si="10"/>
        <v>21000</v>
      </c>
      <c r="P48" s="30">
        <f t="shared" si="10"/>
        <v>21000</v>
      </c>
      <c r="Q48" s="30">
        <f t="shared" si="10"/>
        <v>21000</v>
      </c>
      <c r="R48" s="30"/>
      <c r="S48" s="30">
        <f>S46</f>
        <v>0</v>
      </c>
      <c r="T48" s="30">
        <f t="shared" ref="T48" si="11">T46</f>
        <v>0</v>
      </c>
    </row>
    <row r="49" spans="1:20" x14ac:dyDescent="0.2">
      <c r="A49" s="21" t="s">
        <v>13</v>
      </c>
      <c r="B49" s="22">
        <f t="shared" ref="B49:C49" si="12">B44-B48</f>
        <v>0</v>
      </c>
      <c r="C49" s="22">
        <f t="shared" si="12"/>
        <v>3200</v>
      </c>
      <c r="D49" s="22">
        <f t="shared" ref="D49:I49" si="13">D44-D48</f>
        <v>27730</v>
      </c>
      <c r="E49" s="22">
        <f t="shared" si="13"/>
        <v>12670</v>
      </c>
      <c r="F49" s="22">
        <f t="shared" si="13"/>
        <v>23010</v>
      </c>
      <c r="G49" s="22">
        <f t="shared" si="13"/>
        <v>12670</v>
      </c>
      <c r="H49" s="22">
        <f t="shared" si="13"/>
        <v>32320</v>
      </c>
      <c r="I49" s="22">
        <f t="shared" si="13"/>
        <v>34920</v>
      </c>
      <c r="J49" s="22">
        <v>0</v>
      </c>
      <c r="K49" s="22">
        <f t="shared" ref="K49:Q49" si="14">K44-K48</f>
        <v>3200</v>
      </c>
      <c r="L49" s="22">
        <f t="shared" si="14"/>
        <v>14980</v>
      </c>
      <c r="M49" s="22">
        <f t="shared" si="14"/>
        <v>7000</v>
      </c>
      <c r="N49" s="22">
        <f t="shared" si="14"/>
        <v>12440</v>
      </c>
      <c r="O49" s="22">
        <f t="shared" si="14"/>
        <v>8000</v>
      </c>
      <c r="P49" s="22">
        <f t="shared" si="14"/>
        <v>19000</v>
      </c>
      <c r="Q49" s="22">
        <f t="shared" si="14"/>
        <v>23400</v>
      </c>
      <c r="R49" s="22">
        <f t="shared" ref="R49:T49" si="15">R44-R48</f>
        <v>0</v>
      </c>
      <c r="S49" s="22">
        <f t="shared" si="15"/>
        <v>8000</v>
      </c>
      <c r="T49" s="22">
        <f t="shared" si="15"/>
        <v>12000</v>
      </c>
    </row>
    <row r="50" spans="1:20" x14ac:dyDescent="0.2">
      <c r="A50" s="28" t="s">
        <v>44</v>
      </c>
      <c r="B50" s="29">
        <v>0</v>
      </c>
      <c r="C50" s="29">
        <f>C49</f>
        <v>3200</v>
      </c>
      <c r="D50" s="29">
        <f t="shared" ref="D50:I50" si="16">D49</f>
        <v>27730</v>
      </c>
      <c r="E50" s="29">
        <f t="shared" si="16"/>
        <v>12670</v>
      </c>
      <c r="F50" s="29">
        <f t="shared" si="16"/>
        <v>23010</v>
      </c>
      <c r="G50" s="29">
        <f t="shared" si="16"/>
        <v>12670</v>
      </c>
      <c r="H50" s="29">
        <f t="shared" si="16"/>
        <v>32320</v>
      </c>
      <c r="I50" s="29">
        <f t="shared" si="16"/>
        <v>34920</v>
      </c>
      <c r="J50" s="29">
        <f t="shared" ref="J50" si="17">J49-$B$49</f>
        <v>0</v>
      </c>
      <c r="K50" s="29">
        <f>K49</f>
        <v>3200</v>
      </c>
      <c r="L50" s="29">
        <f t="shared" ref="L50" si="18">L49</f>
        <v>14980</v>
      </c>
      <c r="M50" s="29">
        <f t="shared" ref="M50" si="19">M49</f>
        <v>7000</v>
      </c>
      <c r="N50" s="29">
        <f t="shared" ref="N50" si="20">N49</f>
        <v>12440</v>
      </c>
      <c r="O50" s="29">
        <f t="shared" ref="O50" si="21">O49</f>
        <v>8000</v>
      </c>
      <c r="P50" s="29">
        <f t="shared" ref="P50" si="22">P49</f>
        <v>19000</v>
      </c>
      <c r="Q50" s="29">
        <f t="shared" ref="Q50" si="23">Q49</f>
        <v>23400</v>
      </c>
      <c r="R50" s="29">
        <f>R49-$B$44</f>
        <v>0</v>
      </c>
      <c r="S50" s="29">
        <f>S49</f>
        <v>8000</v>
      </c>
      <c r="T50" s="29">
        <f t="shared" ref="T50" si="24">T49</f>
        <v>12000</v>
      </c>
    </row>
    <row r="51" spans="1:20" x14ac:dyDescent="0.2">
      <c r="A51" s="34" t="s">
        <v>65</v>
      </c>
      <c r="B51" s="35">
        <v>17520</v>
      </c>
      <c r="C51" s="35">
        <f>B51</f>
        <v>17520</v>
      </c>
      <c r="D51" s="35">
        <f t="shared" ref="D51:I51" si="25">C51</f>
        <v>17520</v>
      </c>
      <c r="E51" s="35">
        <f t="shared" si="25"/>
        <v>17520</v>
      </c>
      <c r="F51" s="35">
        <f t="shared" si="25"/>
        <v>17520</v>
      </c>
      <c r="G51" s="35">
        <f t="shared" si="25"/>
        <v>17520</v>
      </c>
      <c r="H51" s="35">
        <f t="shared" si="25"/>
        <v>17520</v>
      </c>
      <c r="I51" s="35">
        <f t="shared" si="25"/>
        <v>17520</v>
      </c>
      <c r="J51" s="35">
        <v>9900</v>
      </c>
      <c r="K51" s="35">
        <f>J51</f>
        <v>9900</v>
      </c>
      <c r="L51" s="35">
        <f t="shared" ref="L51:L52" si="26">K51</f>
        <v>9900</v>
      </c>
      <c r="M51" s="35">
        <f t="shared" ref="M51:M52" si="27">L51</f>
        <v>9900</v>
      </c>
      <c r="N51" s="35">
        <f t="shared" ref="N51:N52" si="28">M51</f>
        <v>9900</v>
      </c>
      <c r="O51" s="35">
        <f t="shared" ref="O51:O52" si="29">N51</f>
        <v>9900</v>
      </c>
      <c r="P51" s="35">
        <f t="shared" ref="P51:P52" si="30">O51</f>
        <v>9900</v>
      </c>
      <c r="Q51" s="35">
        <f t="shared" ref="Q51:Q52" si="31">P51</f>
        <v>9900</v>
      </c>
      <c r="R51" s="35">
        <v>1800</v>
      </c>
      <c r="S51" s="35">
        <f>R51</f>
        <v>1800</v>
      </c>
      <c r="T51" s="35">
        <f>S51</f>
        <v>1800</v>
      </c>
    </row>
    <row r="52" spans="1:20" x14ac:dyDescent="0.2">
      <c r="A52" s="82" t="s">
        <v>66</v>
      </c>
      <c r="B52" s="102">
        <v>1600</v>
      </c>
      <c r="C52" s="102">
        <f>B52</f>
        <v>1600</v>
      </c>
      <c r="D52" s="102">
        <f t="shared" ref="D52:I52" si="32">C52</f>
        <v>1600</v>
      </c>
      <c r="E52" s="102">
        <f t="shared" si="32"/>
        <v>1600</v>
      </c>
      <c r="F52" s="102">
        <f t="shared" si="32"/>
        <v>1600</v>
      </c>
      <c r="G52" s="102">
        <f t="shared" si="32"/>
        <v>1600</v>
      </c>
      <c r="H52" s="102">
        <f t="shared" si="32"/>
        <v>1600</v>
      </c>
      <c r="I52" s="102">
        <f t="shared" si="32"/>
        <v>1600</v>
      </c>
      <c r="J52" s="102">
        <v>3200</v>
      </c>
      <c r="K52" s="102">
        <f>J52</f>
        <v>3200</v>
      </c>
      <c r="L52" s="102">
        <f t="shared" si="26"/>
        <v>3200</v>
      </c>
      <c r="M52" s="102">
        <f t="shared" si="27"/>
        <v>3200</v>
      </c>
      <c r="N52" s="102">
        <f t="shared" si="28"/>
        <v>3200</v>
      </c>
      <c r="O52" s="102">
        <f t="shared" si="29"/>
        <v>3200</v>
      </c>
      <c r="P52" s="102">
        <f t="shared" si="30"/>
        <v>3200</v>
      </c>
      <c r="Q52" s="102">
        <f t="shared" si="31"/>
        <v>3200</v>
      </c>
      <c r="R52" s="102">
        <v>3200</v>
      </c>
      <c r="S52" s="102">
        <f>R52</f>
        <v>3200</v>
      </c>
      <c r="T52" s="102">
        <f>S52</f>
        <v>3200</v>
      </c>
    </row>
    <row r="53" spans="1:20" x14ac:dyDescent="0.2">
      <c r="A53" s="82" t="s">
        <v>103</v>
      </c>
      <c r="B53" s="102"/>
      <c r="C53" s="102">
        <v>1110</v>
      </c>
      <c r="D53" s="102">
        <v>1110</v>
      </c>
      <c r="E53" s="102">
        <v>1110</v>
      </c>
      <c r="F53" s="102">
        <v>5040</v>
      </c>
      <c r="G53" s="102">
        <v>5040</v>
      </c>
      <c r="H53" s="102">
        <v>7720</v>
      </c>
      <c r="I53" s="102">
        <v>7000</v>
      </c>
      <c r="J53" s="102"/>
      <c r="K53" s="102">
        <v>2400</v>
      </c>
      <c r="L53" s="102">
        <v>2400</v>
      </c>
      <c r="M53" s="102">
        <v>2400</v>
      </c>
      <c r="N53" s="102">
        <v>4920</v>
      </c>
      <c r="O53" s="102">
        <v>4920</v>
      </c>
      <c r="P53" s="102">
        <v>3200</v>
      </c>
      <c r="Q53" s="102">
        <v>4920</v>
      </c>
      <c r="R53" s="102"/>
      <c r="S53" s="102">
        <v>2400</v>
      </c>
      <c r="T53" s="102">
        <v>2400</v>
      </c>
    </row>
    <row r="54" spans="1:20" x14ac:dyDescent="0.2">
      <c r="A54" s="82" t="s">
        <v>137</v>
      </c>
      <c r="B54" s="102"/>
      <c r="C54" s="102">
        <v>4110</v>
      </c>
      <c r="D54" s="102">
        <v>4110</v>
      </c>
      <c r="E54" s="102">
        <v>4110</v>
      </c>
      <c r="F54" s="102">
        <v>8040</v>
      </c>
      <c r="G54" s="102">
        <v>8040</v>
      </c>
      <c r="H54" s="102">
        <v>3000</v>
      </c>
      <c r="I54" s="102">
        <v>10000</v>
      </c>
      <c r="J54" s="102"/>
      <c r="K54" s="102">
        <v>3200</v>
      </c>
      <c r="L54" s="102">
        <v>3200</v>
      </c>
      <c r="M54" s="102">
        <v>3200</v>
      </c>
      <c r="N54" s="102">
        <v>5720</v>
      </c>
      <c r="O54" s="102">
        <v>5720</v>
      </c>
      <c r="P54" s="102">
        <v>800</v>
      </c>
      <c r="Q54" s="102">
        <v>5720</v>
      </c>
      <c r="R54" s="102"/>
      <c r="S54" s="102">
        <v>3200</v>
      </c>
      <c r="T54" s="102">
        <v>3200</v>
      </c>
    </row>
    <row r="55" spans="1:20" x14ac:dyDescent="0.2">
      <c r="A55" s="82" t="s">
        <v>158</v>
      </c>
      <c r="B55" s="102"/>
      <c r="C55" s="132">
        <v>0.1</v>
      </c>
      <c r="D55" s="132">
        <v>0.10000000000000053</v>
      </c>
      <c r="E55" s="132">
        <v>0</v>
      </c>
      <c r="F55" s="132">
        <v>0.70000000000000018</v>
      </c>
      <c r="G55" s="132">
        <v>0.29999999999999982</v>
      </c>
      <c r="H55" s="132">
        <v>1</v>
      </c>
      <c r="I55" s="132">
        <v>0.7</v>
      </c>
      <c r="J55" s="102"/>
      <c r="K55" s="132">
        <v>0</v>
      </c>
      <c r="L55" s="132">
        <v>0.40000000000000036</v>
      </c>
      <c r="M55" s="132">
        <v>9.9999999999999645E-2</v>
      </c>
      <c r="N55" s="132">
        <v>1</v>
      </c>
      <c r="O55" s="132">
        <v>0.40000000000000036</v>
      </c>
      <c r="P55" s="132">
        <v>0.59999999999999964</v>
      </c>
      <c r="Q55" s="132">
        <v>0.7</v>
      </c>
      <c r="R55" s="102"/>
      <c r="S55" s="132">
        <v>0</v>
      </c>
      <c r="T55" s="132">
        <v>1</v>
      </c>
    </row>
    <row r="56" spans="1:20" x14ac:dyDescent="0.2">
      <c r="A56" s="82" t="s">
        <v>104</v>
      </c>
      <c r="B56" s="119">
        <v>2500</v>
      </c>
      <c r="C56" s="119">
        <v>2112</v>
      </c>
      <c r="D56" s="119">
        <v>0</v>
      </c>
      <c r="E56" s="119">
        <v>0</v>
      </c>
      <c r="F56" s="119">
        <v>0</v>
      </c>
      <c r="G56" s="119">
        <v>0</v>
      </c>
      <c r="H56" s="120">
        <v>0</v>
      </c>
      <c r="I56" s="119">
        <v>0</v>
      </c>
      <c r="J56" s="102"/>
      <c r="K56" s="119"/>
      <c r="L56" s="119"/>
      <c r="M56" s="119"/>
      <c r="N56" s="119"/>
      <c r="O56" s="119"/>
      <c r="P56" s="120"/>
      <c r="Q56" s="119"/>
      <c r="R56" s="102"/>
      <c r="S56" s="119"/>
      <c r="T56" s="119"/>
    </row>
    <row r="57" spans="1:20" x14ac:dyDescent="0.2">
      <c r="A57" s="36" t="s">
        <v>80</v>
      </c>
      <c r="B57" s="37"/>
      <c r="C57" s="37"/>
      <c r="D57" s="37"/>
      <c r="E57" s="37"/>
      <c r="F57" s="37"/>
      <c r="G57" s="37"/>
      <c r="H57" s="37"/>
      <c r="I57" s="37"/>
      <c r="J57" s="37">
        <v>15000</v>
      </c>
      <c r="K57" s="37">
        <v>11800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v>5500</v>
      </c>
      <c r="S57" s="37">
        <v>2300</v>
      </c>
      <c r="T57" s="37">
        <v>0</v>
      </c>
    </row>
    <row r="58" spans="1:20" x14ac:dyDescent="0.2">
      <c r="A58" s="36" t="s">
        <v>43</v>
      </c>
      <c r="B58" s="37">
        <v>4000</v>
      </c>
      <c r="C58" s="37">
        <f>B58</f>
        <v>4000</v>
      </c>
      <c r="D58" s="37">
        <f t="shared" ref="D58:I58" si="33">C58</f>
        <v>4000</v>
      </c>
      <c r="E58" s="37">
        <f t="shared" si="33"/>
        <v>4000</v>
      </c>
      <c r="F58" s="37">
        <f t="shared" si="33"/>
        <v>4000</v>
      </c>
      <c r="G58" s="37">
        <f t="shared" si="33"/>
        <v>4000</v>
      </c>
      <c r="H58" s="37">
        <f t="shared" si="33"/>
        <v>4000</v>
      </c>
      <c r="I58" s="37">
        <f t="shared" si="33"/>
        <v>4000</v>
      </c>
      <c r="J58" s="37">
        <v>3000</v>
      </c>
      <c r="K58" s="37">
        <f>J58</f>
        <v>3000</v>
      </c>
      <c r="L58" s="37">
        <f t="shared" ref="L58" si="34">K58</f>
        <v>3000</v>
      </c>
      <c r="M58" s="37">
        <f t="shared" ref="M58" si="35">L58</f>
        <v>3000</v>
      </c>
      <c r="N58" s="37">
        <f t="shared" ref="N58" si="36">M58</f>
        <v>3000</v>
      </c>
      <c r="O58" s="37">
        <f t="shared" ref="O58" si="37">N58</f>
        <v>3000</v>
      </c>
      <c r="P58" s="37">
        <f t="shared" ref="P58" si="38">O58</f>
        <v>3000</v>
      </c>
      <c r="Q58" s="37">
        <f t="shared" ref="Q58" si="39">P58</f>
        <v>3000</v>
      </c>
      <c r="R58" s="37">
        <v>3000</v>
      </c>
      <c r="S58" s="37">
        <f>R58</f>
        <v>3000</v>
      </c>
      <c r="T58" s="37">
        <f>S58</f>
        <v>3000</v>
      </c>
    </row>
    <row r="59" spans="1:20" x14ac:dyDescent="0.2">
      <c r="A59" s="36" t="s">
        <v>159</v>
      </c>
      <c r="B59" s="37"/>
      <c r="C59" s="37">
        <v>160</v>
      </c>
      <c r="D59" s="37">
        <v>3250</v>
      </c>
      <c r="E59" s="37">
        <v>3710</v>
      </c>
      <c r="F59" s="37">
        <v>2150</v>
      </c>
      <c r="G59" s="37">
        <v>2770</v>
      </c>
      <c r="H59" s="37">
        <v>3820</v>
      </c>
      <c r="I59" s="37">
        <v>2340</v>
      </c>
      <c r="J59" s="37"/>
      <c r="K59" s="37">
        <v>270</v>
      </c>
      <c r="L59" s="37">
        <v>2040</v>
      </c>
      <c r="M59" s="37">
        <v>2390</v>
      </c>
      <c r="N59" s="37">
        <v>1330</v>
      </c>
      <c r="O59" s="37">
        <v>1845</v>
      </c>
      <c r="P59" s="37">
        <v>2620</v>
      </c>
      <c r="Q59" s="37">
        <v>1580</v>
      </c>
      <c r="R59" s="37"/>
      <c r="S59" s="37">
        <v>270</v>
      </c>
      <c r="T59" s="37">
        <v>360</v>
      </c>
    </row>
    <row r="60" spans="1:20" x14ac:dyDescent="0.2">
      <c r="A60" s="36" t="s">
        <v>18</v>
      </c>
      <c r="B60" s="37">
        <f>10.6*B22+B58</f>
        <v>30500</v>
      </c>
      <c r="C60" s="37">
        <v>26550</v>
      </c>
      <c r="D60" s="37">
        <f>D58+D59</f>
        <v>7250</v>
      </c>
      <c r="E60" s="37">
        <f t="shared" ref="E60:I60" si="40">E58+E59</f>
        <v>7710</v>
      </c>
      <c r="F60" s="37">
        <f t="shared" si="40"/>
        <v>6150</v>
      </c>
      <c r="G60" s="37">
        <f t="shared" si="40"/>
        <v>6770</v>
      </c>
      <c r="H60" s="37">
        <f t="shared" si="40"/>
        <v>7820</v>
      </c>
      <c r="I60" s="37">
        <f t="shared" si="40"/>
        <v>6340</v>
      </c>
      <c r="J60" s="37">
        <v>18000</v>
      </c>
      <c r="K60" s="37">
        <f>K58+K59+K57</f>
        <v>15070</v>
      </c>
      <c r="L60" s="37">
        <f>L58+L59</f>
        <v>5040</v>
      </c>
      <c r="M60" s="37">
        <f t="shared" ref="M60" si="41">M58+M59</f>
        <v>5390</v>
      </c>
      <c r="N60" s="37">
        <f t="shared" ref="N60" si="42">N58+N59</f>
        <v>4330</v>
      </c>
      <c r="O60" s="37">
        <f t="shared" ref="O60" si="43">O58+O59</f>
        <v>4845</v>
      </c>
      <c r="P60" s="37">
        <f t="shared" ref="P60" si="44">P58+P59</f>
        <v>5620</v>
      </c>
      <c r="Q60" s="37">
        <f t="shared" ref="Q60" si="45">Q58+Q59</f>
        <v>4580</v>
      </c>
      <c r="R60" s="37">
        <v>8500</v>
      </c>
      <c r="S60" s="37">
        <f>S58+S59+S57</f>
        <v>5570</v>
      </c>
      <c r="T60" s="37">
        <f t="shared" ref="T60" si="46">T58+T59</f>
        <v>3360</v>
      </c>
    </row>
    <row r="61" spans="1:20" x14ac:dyDescent="0.2">
      <c r="A61" s="36" t="s">
        <v>40</v>
      </c>
      <c r="B61" s="38">
        <f>10*ROUND((100*B22*$B$6+B58*$B$8)/1000,0)</f>
        <v>5100</v>
      </c>
      <c r="C61" s="38">
        <f>10*ROUND((100*(C56)*$B$6+C58*$B$8+C59*$B$9)/1000,0)</f>
        <v>4600</v>
      </c>
      <c r="D61" s="38">
        <f t="shared" ref="D61:I61" si="47">10*ROUND((100*(D56)*$B$6+D58*$B$8+D59*$B$9)/1000,0)</f>
        <v>2510</v>
      </c>
      <c r="E61" s="38">
        <f t="shared" si="47"/>
        <v>2640</v>
      </c>
      <c r="F61" s="38">
        <f t="shared" si="47"/>
        <v>2200</v>
      </c>
      <c r="G61" s="38">
        <f t="shared" si="47"/>
        <v>2380</v>
      </c>
      <c r="H61" s="38">
        <f t="shared" si="47"/>
        <v>2670</v>
      </c>
      <c r="I61" s="38">
        <f t="shared" si="47"/>
        <v>2260</v>
      </c>
      <c r="J61" s="38">
        <v>3000</v>
      </c>
      <c r="K61" s="38">
        <f>10*ROUND(((K57)*$B$7+K58*$B$8+K59*$B$9)/1000,0)</f>
        <v>2690</v>
      </c>
      <c r="L61" s="38">
        <f t="shared" ref="L61:Q61" si="48">10*ROUND(((L57)*$B$7+L58*$B$8+L59*$B$9)/1000,0)</f>
        <v>1770</v>
      </c>
      <c r="M61" s="38">
        <f t="shared" si="48"/>
        <v>1870</v>
      </c>
      <c r="N61" s="38">
        <f t="shared" si="48"/>
        <v>1570</v>
      </c>
      <c r="O61" s="38">
        <f t="shared" si="48"/>
        <v>1720</v>
      </c>
      <c r="P61" s="38">
        <f t="shared" si="48"/>
        <v>1930</v>
      </c>
      <c r="Q61" s="38">
        <f t="shared" si="48"/>
        <v>1640</v>
      </c>
      <c r="R61" s="38">
        <v>1860</v>
      </c>
      <c r="S61" s="38">
        <f>10*ROUND(((S57)*$B$7+S58*$B$8+S59*$B$9)/1000,0)</f>
        <v>1550</v>
      </c>
      <c r="T61" s="38">
        <f t="shared" ref="T61" si="49">10*ROUND(((T57)*$B$7+T58*$B$8+T59*$B$9)/1000,0)</f>
        <v>1300</v>
      </c>
    </row>
    <row r="62" spans="1:20" x14ac:dyDescent="0.2">
      <c r="A62" s="33" t="s">
        <v>41</v>
      </c>
      <c r="B62" s="31">
        <v>200</v>
      </c>
      <c r="C62" s="38">
        <f>10*ROUND($B$11*(C33+C37+C38)/1000,0)+$B$62</f>
        <v>240</v>
      </c>
      <c r="D62" s="31">
        <f>10*ROUND($B$11*(D33+D38)/1000,0)</f>
        <v>160</v>
      </c>
      <c r="E62" s="31">
        <f t="shared" ref="E62:I62" si="50">10*ROUND($B$11*(E33+E38)/1000,0)</f>
        <v>190</v>
      </c>
      <c r="F62" s="31">
        <f t="shared" si="50"/>
        <v>160</v>
      </c>
      <c r="G62" s="31">
        <f t="shared" si="50"/>
        <v>190</v>
      </c>
      <c r="H62" s="31">
        <f t="shared" si="50"/>
        <v>210</v>
      </c>
      <c r="I62" s="31">
        <f t="shared" si="50"/>
        <v>220</v>
      </c>
      <c r="J62" s="31">
        <v>150</v>
      </c>
      <c r="K62" s="38">
        <f>10*ROUND($B$11*(K33+K37+K38)/1000,0)+$J$62</f>
        <v>190</v>
      </c>
      <c r="L62" s="31">
        <v>170</v>
      </c>
      <c r="M62" s="31">
        <v>190</v>
      </c>
      <c r="N62" s="31">
        <v>190</v>
      </c>
      <c r="O62" s="31">
        <v>220</v>
      </c>
      <c r="P62" s="31">
        <v>160</v>
      </c>
      <c r="Q62" s="31">
        <v>180</v>
      </c>
      <c r="R62" s="31">
        <v>150</v>
      </c>
      <c r="S62" s="38">
        <f>10*ROUND($B$11*(S33+S37+S38)/1000,0)+$R$62</f>
        <v>190</v>
      </c>
      <c r="T62" s="31">
        <v>190</v>
      </c>
    </row>
    <row r="63" spans="1:20" x14ac:dyDescent="0.2">
      <c r="A63" s="39" t="s">
        <v>42</v>
      </c>
      <c r="B63" s="40">
        <f>B61+B62</f>
        <v>5300</v>
      </c>
      <c r="C63" s="40">
        <f>C61+C62</f>
        <v>4840</v>
      </c>
      <c r="D63" s="40">
        <f t="shared" ref="D63:I63" si="51">D61+D62</f>
        <v>2670</v>
      </c>
      <c r="E63" s="40">
        <f t="shared" si="51"/>
        <v>2830</v>
      </c>
      <c r="F63" s="40">
        <f t="shared" si="51"/>
        <v>2360</v>
      </c>
      <c r="G63" s="40">
        <f t="shared" si="51"/>
        <v>2570</v>
      </c>
      <c r="H63" s="40">
        <f t="shared" si="51"/>
        <v>2880</v>
      </c>
      <c r="I63" s="40">
        <f t="shared" si="51"/>
        <v>2480</v>
      </c>
      <c r="J63" s="40">
        <f>J61+J62</f>
        <v>3150</v>
      </c>
      <c r="K63" s="40">
        <f>K61+K62</f>
        <v>2880</v>
      </c>
      <c r="L63" s="40">
        <f t="shared" ref="L63:Q63" si="52">L61+L62</f>
        <v>1940</v>
      </c>
      <c r="M63" s="40">
        <f t="shared" si="52"/>
        <v>2060</v>
      </c>
      <c r="N63" s="40">
        <f t="shared" si="52"/>
        <v>1760</v>
      </c>
      <c r="O63" s="40">
        <f t="shared" si="52"/>
        <v>1940</v>
      </c>
      <c r="P63" s="40">
        <f t="shared" si="52"/>
        <v>2090</v>
      </c>
      <c r="Q63" s="40">
        <f t="shared" si="52"/>
        <v>1820</v>
      </c>
      <c r="R63" s="40">
        <f>R61+R62</f>
        <v>2010</v>
      </c>
      <c r="S63" s="40">
        <f>S61+S62</f>
        <v>1740</v>
      </c>
      <c r="T63" s="40">
        <f t="shared" ref="T63" si="53">T61+T62</f>
        <v>1490</v>
      </c>
    </row>
    <row r="64" spans="1:20" x14ac:dyDescent="0.2">
      <c r="A64" s="28" t="s">
        <v>2</v>
      </c>
      <c r="B64" s="41"/>
      <c r="C64" s="41">
        <f>-C50-20*(C63-$B$63)</f>
        <v>6000</v>
      </c>
      <c r="D64" s="41">
        <f t="shared" ref="D64:I64" si="54">-D50-20*(D63-$B$63)</f>
        <v>24870</v>
      </c>
      <c r="E64" s="41">
        <f t="shared" si="54"/>
        <v>36730</v>
      </c>
      <c r="F64" s="41">
        <f t="shared" si="54"/>
        <v>35790</v>
      </c>
      <c r="G64" s="41">
        <f t="shared" si="54"/>
        <v>41930</v>
      </c>
      <c r="H64" s="41">
        <f t="shared" si="54"/>
        <v>16080</v>
      </c>
      <c r="I64" s="41">
        <f t="shared" si="54"/>
        <v>21480</v>
      </c>
      <c r="J64" s="41"/>
      <c r="K64" s="41">
        <f>-K50-20*(K63-$J$63)</f>
        <v>2200</v>
      </c>
      <c r="L64" s="41">
        <f t="shared" ref="L64:Q64" si="55">-L50-20*(L63-$J$63)</f>
        <v>9220</v>
      </c>
      <c r="M64" s="41">
        <f t="shared" si="55"/>
        <v>14800</v>
      </c>
      <c r="N64" s="41">
        <f t="shared" si="55"/>
        <v>15360</v>
      </c>
      <c r="O64" s="41">
        <f t="shared" si="55"/>
        <v>16200</v>
      </c>
      <c r="P64" s="41">
        <f t="shared" si="55"/>
        <v>2200</v>
      </c>
      <c r="Q64" s="41">
        <f t="shared" si="55"/>
        <v>3200</v>
      </c>
      <c r="R64" s="41"/>
      <c r="S64" s="41">
        <f>-S50-20*(S63-$R$63)</f>
        <v>-2600</v>
      </c>
      <c r="T64" s="41">
        <f t="shared" ref="T64" si="56">-T50-20*(T63-$R$63)</f>
        <v>-1600</v>
      </c>
    </row>
    <row r="65" spans="1:20" x14ac:dyDescent="0.2">
      <c r="A65" s="28" t="s">
        <v>16</v>
      </c>
      <c r="B65" s="42"/>
      <c r="C65" s="43">
        <f>IF((($B$63-C63)=0),IF((C50&lt;=0),"sofort","nie"),IF((C50/($B$63-C63)&lt;=0),IF((C50&lt;=0),"sofort","nie"),C50/($B$63-C63)))</f>
        <v>6.9565217391304346</v>
      </c>
      <c r="D65" s="43">
        <f t="shared" ref="D65:I65" si="57">IF((($B$63-D63)=0),IF((D50&lt;=0),"sofort","nie"),IF((D50/($B$63-D63)&lt;=0),IF((D50&lt;=0),"sofort","nie"),D50/($B$63-D63)))</f>
        <v>10.543726235741445</v>
      </c>
      <c r="E65" s="43">
        <f t="shared" si="57"/>
        <v>5.1295546558704457</v>
      </c>
      <c r="F65" s="43">
        <f t="shared" si="57"/>
        <v>7.8265306122448983</v>
      </c>
      <c r="G65" s="43">
        <f t="shared" si="57"/>
        <v>4.6410256410256414</v>
      </c>
      <c r="H65" s="43">
        <f t="shared" si="57"/>
        <v>13.355371900826446</v>
      </c>
      <c r="I65" s="43">
        <f t="shared" si="57"/>
        <v>12.382978723404255</v>
      </c>
      <c r="J65" s="43"/>
      <c r="K65" s="43">
        <f>IF((($J$63-K63)=0),IF((K50&lt;=0),"sofort","nie"),IF((K50/($J$63-K63)&lt;=0),IF((K50&lt;=0),"sofort","nie"),K50/($J$63-K63)))</f>
        <v>11.851851851851851</v>
      </c>
      <c r="L65" s="43">
        <f t="shared" ref="L65:Q65" si="58">IF((($J$63-L63)=0),IF((L50&lt;=0),"sofort","nie"),IF((L50/($J$63-L63)&lt;=0),IF((L50&lt;=0),"sofort","nie"),L50/($J$63-L63)))</f>
        <v>12.380165289256198</v>
      </c>
      <c r="M65" s="43">
        <f t="shared" si="58"/>
        <v>6.4220183486238529</v>
      </c>
      <c r="N65" s="43">
        <f t="shared" si="58"/>
        <v>8.9496402877697836</v>
      </c>
      <c r="O65" s="43">
        <f t="shared" si="58"/>
        <v>6.6115702479338845</v>
      </c>
      <c r="P65" s="43">
        <f t="shared" si="58"/>
        <v>17.924528301886792</v>
      </c>
      <c r="Q65" s="43">
        <f t="shared" si="58"/>
        <v>17.593984962406015</v>
      </c>
      <c r="R65" s="43"/>
      <c r="S65" s="43">
        <f>IF((($R$63-S63)=0),IF((S50&lt;=0),"sofort","nie"),IF((S50/($R$63-S63)&lt;=0),IF((S50&lt;=0),"sofort","nie"),S50/($R$63-S63)))</f>
        <v>29.62962962962963</v>
      </c>
      <c r="T65" s="43">
        <f t="shared" ref="T65" si="59">IF((($R$63-T63)=0),IF((T50&lt;=0),"sofort","nie"),IF((T50/($R$63-T63)&lt;=0),IF((T50&lt;=0),"sofort","nie"),T50/($R$63-T63)))</f>
        <v>23.076923076923077</v>
      </c>
    </row>
    <row r="66" spans="1:20" x14ac:dyDescent="0.2">
      <c r="A66" s="28" t="s">
        <v>17</v>
      </c>
      <c r="B66" s="44">
        <f>ROUND((10.6*B22*$I$6+B58*$I$8)/1000,1)</f>
        <v>10.5</v>
      </c>
      <c r="C66" s="44">
        <f>ROUND(((C56+50)*$I$6*10.6+C57*$I$7+C58*$I$8)/1000,1)</f>
        <v>9.3000000000000007</v>
      </c>
      <c r="D66" s="44">
        <f>ROUND((D56*$I$6*10.6+D57*$I$7+(D58+D59)*$I$8)/1000,1)</f>
        <v>4.0999999999999996</v>
      </c>
      <c r="E66" s="44">
        <f t="shared" ref="E66:I66" si="60">ROUND((E56*$I$6*10.6+E57*$I$7+(E58+E59)*$I$8)/1000,1)</f>
        <v>4.3</v>
      </c>
      <c r="F66" s="44">
        <f t="shared" si="60"/>
        <v>3.4</v>
      </c>
      <c r="G66" s="44">
        <f t="shared" si="60"/>
        <v>3.8</v>
      </c>
      <c r="H66" s="44">
        <f t="shared" si="60"/>
        <v>4.4000000000000004</v>
      </c>
      <c r="I66" s="44">
        <f t="shared" si="60"/>
        <v>3.6</v>
      </c>
      <c r="J66" s="44">
        <v>5.3</v>
      </c>
      <c r="K66" s="44">
        <f>ROUND((K57*$I$7+(K58+K59)*$I$8)/1000,1)</f>
        <v>4.7</v>
      </c>
      <c r="L66" s="44">
        <f t="shared" ref="L66:Q66" si="61">ROUND((L57*$I$7+(L58+L59)*$I$8)/1000,1)</f>
        <v>2.8</v>
      </c>
      <c r="M66" s="44">
        <f t="shared" si="61"/>
        <v>3</v>
      </c>
      <c r="N66" s="44">
        <f t="shared" si="61"/>
        <v>2.4</v>
      </c>
      <c r="O66" s="44">
        <f t="shared" si="61"/>
        <v>2.7</v>
      </c>
      <c r="P66" s="44">
        <f t="shared" si="61"/>
        <v>3.1</v>
      </c>
      <c r="Q66" s="44">
        <f t="shared" si="61"/>
        <v>2.6</v>
      </c>
      <c r="R66" s="44">
        <v>3</v>
      </c>
      <c r="S66" s="44">
        <f>ROUND((S57*$I$7+(S58+S59)*$I$8)/1000,1)</f>
        <v>2.4</v>
      </c>
      <c r="T66" s="44">
        <f t="shared" ref="T66" si="62">ROUND((T57*$I$7+(T58+T59)*$I$8)/1000,1)</f>
        <v>1.9</v>
      </c>
    </row>
    <row r="67" spans="1:20" x14ac:dyDescent="0.2">
      <c r="A67" s="28" t="s">
        <v>3</v>
      </c>
      <c r="B67" s="45">
        <v>0</v>
      </c>
      <c r="C67" s="118">
        <f>ROUND(100*($B$60-C60)/($B$60-$B$58),1)/100</f>
        <v>0.14899999999999999</v>
      </c>
      <c r="D67" s="118">
        <f t="shared" ref="D67:I67" si="63">ROUND(100*($B$60-D60)/($B$60-$B$58),1)/100</f>
        <v>0.877</v>
      </c>
      <c r="E67" s="118">
        <f t="shared" si="63"/>
        <v>0.86</v>
      </c>
      <c r="F67" s="118">
        <f t="shared" si="63"/>
        <v>0.91900000000000004</v>
      </c>
      <c r="G67" s="118">
        <f t="shared" si="63"/>
        <v>0.89500000000000002</v>
      </c>
      <c r="H67" s="118">
        <f t="shared" si="63"/>
        <v>0.85599999999999998</v>
      </c>
      <c r="I67" s="118">
        <f t="shared" si="63"/>
        <v>0.91200000000000003</v>
      </c>
      <c r="J67" s="45">
        <v>0</v>
      </c>
      <c r="K67" s="118">
        <f>ROUND(100*($J$60-K60)/($J$60-$J$58),1)/100</f>
        <v>0.19500000000000001</v>
      </c>
      <c r="L67" s="118">
        <f>ROUND(100*($J$60-L60)/($J$60-$J$58),1)/100</f>
        <v>0.8640000000000001</v>
      </c>
      <c r="M67" s="118">
        <f t="shared" ref="M67:Q67" si="64">ROUND(100*($J$60-M60)/($J$60-$J$58),1)/100</f>
        <v>0.84099999999999997</v>
      </c>
      <c r="N67" s="118">
        <f t="shared" si="64"/>
        <v>0.91099999999999992</v>
      </c>
      <c r="O67" s="118">
        <f t="shared" si="64"/>
        <v>0.877</v>
      </c>
      <c r="P67" s="118">
        <f t="shared" si="64"/>
        <v>0.82499999999999996</v>
      </c>
      <c r="Q67" s="118">
        <f t="shared" si="64"/>
        <v>0.89500000000000002</v>
      </c>
      <c r="R67" s="45">
        <v>0</v>
      </c>
      <c r="S67" s="118">
        <f>ROUND(100*($R$60-S60)/($R$60-$R$58),1)/100</f>
        <v>0.53299999999999992</v>
      </c>
      <c r="T67" s="118">
        <f t="shared" ref="T67" si="65">ROUND(100*($R$60-T60)/($R$60-$R$58),1)/100</f>
        <v>0.93500000000000005</v>
      </c>
    </row>
    <row r="68" spans="1:20" x14ac:dyDescent="0.2">
      <c r="A68" s="28" t="s">
        <v>4</v>
      </c>
      <c r="B68" s="45">
        <v>0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  <c r="H68" s="118">
        <v>0</v>
      </c>
      <c r="I68" s="118">
        <v>0</v>
      </c>
      <c r="J68" s="45">
        <v>0</v>
      </c>
      <c r="K68" s="118">
        <v>0</v>
      </c>
      <c r="L68" s="118">
        <v>0</v>
      </c>
      <c r="M68" s="118">
        <v>0</v>
      </c>
      <c r="N68" s="118">
        <v>0</v>
      </c>
      <c r="O68" s="118">
        <v>0</v>
      </c>
      <c r="P68" s="118">
        <v>0</v>
      </c>
      <c r="Q68" s="118">
        <v>0</v>
      </c>
      <c r="R68" s="45">
        <v>0</v>
      </c>
      <c r="S68" s="118">
        <v>0</v>
      </c>
      <c r="T68" s="118">
        <v>0</v>
      </c>
    </row>
    <row r="69" spans="1:20" x14ac:dyDescent="0.2">
      <c r="A69" s="28" t="s">
        <v>135</v>
      </c>
      <c r="B69" s="45">
        <v>0</v>
      </c>
      <c r="C69" s="118">
        <f>ROUND(100*($B$60-C60)/$B$60,1)/100</f>
        <v>0.13</v>
      </c>
      <c r="D69" s="118">
        <f t="shared" ref="D69:I69" si="66">ROUND(100*($B$60-D60)/$B$60,1)/100</f>
        <v>0.76200000000000001</v>
      </c>
      <c r="E69" s="118">
        <f t="shared" si="66"/>
        <v>0.747</v>
      </c>
      <c r="F69" s="118">
        <f t="shared" si="66"/>
        <v>0.79799999999999993</v>
      </c>
      <c r="G69" s="118">
        <f t="shared" si="66"/>
        <v>0.77800000000000002</v>
      </c>
      <c r="H69" s="118">
        <f t="shared" si="66"/>
        <v>0.74400000000000011</v>
      </c>
      <c r="I69" s="118">
        <f t="shared" si="66"/>
        <v>0.79200000000000004</v>
      </c>
      <c r="J69" s="45">
        <v>0</v>
      </c>
      <c r="K69" s="118">
        <f>ROUND(100*($J$60-K60)/$J$60,1)/100</f>
        <v>0.16300000000000001</v>
      </c>
      <c r="L69" s="118">
        <f>ROUND(100*($J$60-L60)/$J$60,1)/100</f>
        <v>0.72</v>
      </c>
      <c r="M69" s="118">
        <f t="shared" ref="M69:Q69" si="67">ROUND(100*($J$60-M60)/$J$60,1)/100</f>
        <v>0.70099999999999996</v>
      </c>
      <c r="N69" s="118">
        <f t="shared" si="67"/>
        <v>0.75900000000000001</v>
      </c>
      <c r="O69" s="118">
        <f t="shared" si="67"/>
        <v>0.73099999999999998</v>
      </c>
      <c r="P69" s="118">
        <f t="shared" si="67"/>
        <v>0.68799999999999994</v>
      </c>
      <c r="Q69" s="118">
        <f t="shared" si="67"/>
        <v>0.746</v>
      </c>
      <c r="R69" s="45">
        <v>0</v>
      </c>
      <c r="S69" s="118">
        <f>ROUND(100*($R$60-S60)/$R$60,1)/100</f>
        <v>0.34499999999999997</v>
      </c>
      <c r="T69" s="118">
        <f t="shared" ref="T69" si="68">ROUND(100*($R$60-T60)/$R$60,1)/100</f>
        <v>0.60499999999999998</v>
      </c>
    </row>
    <row r="70" spans="1:20" x14ac:dyDescent="0.2">
      <c r="A70" s="154" t="s">
        <v>218</v>
      </c>
      <c r="B70" s="155">
        <f>B60/B24</f>
        <v>254.16666666666666</v>
      </c>
      <c r="C70" s="155">
        <f t="shared" ref="C70:T70" si="69">C60/C24</f>
        <v>221.25</v>
      </c>
      <c r="D70" s="155">
        <f t="shared" si="69"/>
        <v>60.416666666666664</v>
      </c>
      <c r="E70" s="155">
        <f t="shared" si="69"/>
        <v>64.25</v>
      </c>
      <c r="F70" s="155">
        <f t="shared" si="69"/>
        <v>51.25</v>
      </c>
      <c r="G70" s="155">
        <f t="shared" si="69"/>
        <v>56.416666666666664</v>
      </c>
      <c r="H70" s="155">
        <f t="shared" si="69"/>
        <v>65.166666666666671</v>
      </c>
      <c r="I70" s="155">
        <f t="shared" si="69"/>
        <v>52.833333333333336</v>
      </c>
      <c r="J70" s="155">
        <f t="shared" si="69"/>
        <v>128.57142857142858</v>
      </c>
      <c r="K70" s="155">
        <f t="shared" si="69"/>
        <v>107.64285714285714</v>
      </c>
      <c r="L70" s="155">
        <f t="shared" si="69"/>
        <v>36</v>
      </c>
      <c r="M70" s="155">
        <f t="shared" si="69"/>
        <v>38.5</v>
      </c>
      <c r="N70" s="155">
        <f t="shared" si="69"/>
        <v>30.928571428571427</v>
      </c>
      <c r="O70" s="155">
        <f t="shared" si="69"/>
        <v>34.607142857142854</v>
      </c>
      <c r="P70" s="155">
        <f t="shared" si="69"/>
        <v>40.142857142857146</v>
      </c>
      <c r="Q70" s="155">
        <f t="shared" si="69"/>
        <v>32.714285714285715</v>
      </c>
      <c r="R70" s="155">
        <f t="shared" si="69"/>
        <v>70.833333333333329</v>
      </c>
      <c r="S70" s="155">
        <f t="shared" si="69"/>
        <v>46.416666666666664</v>
      </c>
      <c r="T70" s="155">
        <f t="shared" si="69"/>
        <v>28</v>
      </c>
    </row>
    <row r="71" spans="1:20" x14ac:dyDescent="0.2">
      <c r="D71" s="6"/>
      <c r="E71" s="6"/>
      <c r="I71" s="3"/>
    </row>
    <row r="72" spans="1:20" x14ac:dyDescent="0.2">
      <c r="B72" s="57"/>
      <c r="C72" s="48" t="s">
        <v>45</v>
      </c>
      <c r="D72" s="48"/>
      <c r="E72" s="48"/>
      <c r="F72" s="58"/>
      <c r="G72" s="59" t="s">
        <v>46</v>
      </c>
      <c r="H72" s="48"/>
      <c r="I72" s="49"/>
    </row>
    <row r="73" spans="1:20" x14ac:dyDescent="0.2">
      <c r="B73" s="60"/>
      <c r="C73" t="s">
        <v>47</v>
      </c>
      <c r="F73" s="61"/>
      <c r="G73" s="51" t="s">
        <v>70</v>
      </c>
      <c r="I73" s="52"/>
    </row>
    <row r="74" spans="1:20" x14ac:dyDescent="0.2">
      <c r="B74" s="62"/>
      <c r="C74" t="s">
        <v>49</v>
      </c>
      <c r="F74" s="63"/>
      <c r="G74" t="s">
        <v>50</v>
      </c>
      <c r="I74" s="52"/>
    </row>
    <row r="75" spans="1:20" x14ac:dyDescent="0.2">
      <c r="B75" s="64"/>
      <c r="C75" s="55" t="s">
        <v>51</v>
      </c>
      <c r="D75" s="55"/>
      <c r="E75" s="55"/>
      <c r="F75" s="55"/>
      <c r="G75" s="55"/>
      <c r="H75" s="55"/>
      <c r="I75" s="56"/>
    </row>
    <row r="77" spans="1:20" x14ac:dyDescent="0.2">
      <c r="B77" s="46"/>
      <c r="C77" s="47" t="s">
        <v>54</v>
      </c>
      <c r="D77" s="48"/>
      <c r="E77" s="48"/>
      <c r="F77" s="49"/>
    </row>
    <row r="78" spans="1:20" x14ac:dyDescent="0.2">
      <c r="B78" s="50" t="s">
        <v>55</v>
      </c>
      <c r="C78" s="51" t="s">
        <v>57</v>
      </c>
      <c r="F78" s="52"/>
    </row>
    <row r="79" spans="1:20" x14ac:dyDescent="0.2">
      <c r="B79" s="53" t="s">
        <v>56</v>
      </c>
      <c r="C79" s="54" t="s">
        <v>58</v>
      </c>
      <c r="D79" s="55"/>
      <c r="E79" s="55"/>
      <c r="F79" s="56"/>
    </row>
    <row r="81" spans="2:6" x14ac:dyDescent="0.2">
      <c r="B81" t="s">
        <v>212</v>
      </c>
    </row>
    <row r="83" spans="2:6" x14ac:dyDescent="0.2">
      <c r="B83" s="157" t="s">
        <v>213</v>
      </c>
      <c r="C83" s="158" t="s">
        <v>213</v>
      </c>
      <c r="D83" s="159" t="s">
        <v>214</v>
      </c>
      <c r="E83" s="160" t="s">
        <v>214</v>
      </c>
      <c r="F83" s="161" t="s">
        <v>215</v>
      </c>
    </row>
    <row r="84" spans="2:6" x14ac:dyDescent="0.2">
      <c r="B84" s="153"/>
      <c r="C84" s="158" t="s">
        <v>216</v>
      </c>
      <c r="D84" s="159"/>
      <c r="E84" s="160" t="s">
        <v>217</v>
      </c>
      <c r="F84" s="156"/>
    </row>
  </sheetData>
  <sheetProtection algorithmName="SHA-512" hashValue="72nLw+nJAFoTGdrTRXI6JgVIMmKpDXDEDAsnM9Ff0HMUhDdwNHjejUoDtquqYp0HYPQfMN84yy8bUzCP3EKMuQ==" saltValue="n00aH97VuN0x2XDxxCkxpg==" spinCount="100000" sheet="1" objects="1" scenarios="1" selectLockedCells="1" selectUnlockedCells="1"/>
  <phoneticPr fontId="0" type="noConversion"/>
  <conditionalFormatting sqref="B65">
    <cfRule type="expression" dxfId="57" priority="173" stopIfTrue="1">
      <formula>OR(IF(B$50&gt;0,B$65&lt;=10,B$65&gt;30),B$65&lt;0)</formula>
    </cfRule>
    <cfRule type="expression" dxfId="56" priority="174" stopIfTrue="1">
      <formula>B$50&lt;0</formula>
    </cfRule>
  </conditionalFormatting>
  <conditionalFormatting sqref="B66 J66 R66">
    <cfRule type="cellIs" dxfId="55" priority="54" stopIfTrue="1" operator="greaterThan">
      <formula>$B$66</formula>
    </cfRule>
    <cfRule type="cellIs" dxfId="54" priority="57" stopIfTrue="1" operator="lessThanOrEqual">
      <formula>2</formula>
    </cfRule>
  </conditionalFormatting>
  <conditionalFormatting sqref="B68:B69 J68:J69 R68:R69">
    <cfRule type="cellIs" dxfId="53" priority="52" stopIfTrue="1" operator="greaterThanOrEqual">
      <formula>0.5</formula>
    </cfRule>
  </conditionalFormatting>
  <conditionalFormatting sqref="B50:T50">
    <cfRule type="cellIs" dxfId="52" priority="47" operator="lessThan">
      <formula>0</formula>
    </cfRule>
    <cfRule type="cellIs" dxfId="51" priority="48" stopIfTrue="1" operator="lessThanOrEqual">
      <formula>5000</formula>
    </cfRule>
  </conditionalFormatting>
  <conditionalFormatting sqref="B63:T63">
    <cfRule type="cellIs" dxfId="50" priority="49" operator="greaterThan">
      <formula>$B$63</formula>
    </cfRule>
    <cfRule type="cellIs" dxfId="49" priority="66" stopIfTrue="1" operator="lessThanOrEqual">
      <formula>1500</formula>
    </cfRule>
  </conditionalFormatting>
  <conditionalFormatting sqref="B64:T64">
    <cfRule type="cellIs" dxfId="48" priority="39" stopIfTrue="1" operator="greaterThanOrEqual">
      <formula>5000</formula>
    </cfRule>
  </conditionalFormatting>
  <conditionalFormatting sqref="B67:T67 S69:T69">
    <cfRule type="cellIs" dxfId="47" priority="34" stopIfTrue="1" operator="greaterThanOrEqual">
      <formula>0.5</formula>
    </cfRule>
  </conditionalFormatting>
  <conditionalFormatting sqref="B70:T70">
    <cfRule type="cellIs" dxfId="46" priority="1" operator="greaterThan">
      <formula>220</formula>
    </cfRule>
    <cfRule type="cellIs" dxfId="45" priority="2" operator="between">
      <formula>180</formula>
      <formula>220</formula>
    </cfRule>
    <cfRule type="cellIs" dxfId="44" priority="3" operator="between">
      <formula>100</formula>
      <formula>180</formula>
    </cfRule>
    <cfRule type="cellIs" dxfId="43" priority="4" operator="between">
      <formula>80</formula>
      <formula>100</formula>
    </cfRule>
    <cfRule type="cellIs" dxfId="42" priority="5" operator="lessThan">
      <formula>80</formula>
    </cfRule>
  </conditionalFormatting>
  <conditionalFormatting sqref="C65:I65 S65:T65">
    <cfRule type="expression" dxfId="41" priority="37">
      <formula>OR(IF(C$49&gt;0,C$65&lt;=10,C$65&gt;30),C$65="sofort")</formula>
    </cfRule>
    <cfRule type="expression" dxfId="40" priority="38" stopIfTrue="1">
      <formula>C$50&lt;0</formula>
    </cfRule>
  </conditionalFormatting>
  <conditionalFormatting sqref="C66:I66 S66:T66">
    <cfRule type="cellIs" dxfId="39" priority="35" operator="lessThanOrEqual">
      <formula>2</formula>
    </cfRule>
    <cfRule type="cellIs" dxfId="38" priority="36" operator="greaterThan">
      <formula>$B$66</formula>
    </cfRule>
  </conditionalFormatting>
  <conditionalFormatting sqref="C68:I68 S68:T68">
    <cfRule type="cellIs" dxfId="37" priority="33" stopIfTrue="1" operator="greaterThanOrEqual">
      <formula>0.5</formula>
    </cfRule>
  </conditionalFormatting>
  <conditionalFormatting sqref="C69:I69">
    <cfRule type="cellIs" dxfId="36" priority="32" stopIfTrue="1" operator="greaterThanOrEqual">
      <formula>0.5</formula>
    </cfRule>
  </conditionalFormatting>
  <conditionalFormatting sqref="J65 R65">
    <cfRule type="expression" dxfId="35" priority="175">
      <formula>OR(IF(J$50&gt;0,J$65&lt;=10,J$65&gt;30),J$67="sofort")</formula>
    </cfRule>
    <cfRule type="expression" dxfId="34" priority="176" stopIfTrue="1">
      <formula>J$50&lt;0</formula>
    </cfRule>
  </conditionalFormatting>
  <conditionalFormatting sqref="K65:Q65">
    <cfRule type="expression" dxfId="33" priority="16">
      <formula>OR(IF(K$49&gt;0,K$65&lt;=10,K$65&gt;30),K$65="sofort")</formula>
    </cfRule>
    <cfRule type="expression" dxfId="32" priority="17" stopIfTrue="1">
      <formula>K$50&lt;0</formula>
    </cfRule>
  </conditionalFormatting>
  <conditionalFormatting sqref="K66:Q66">
    <cfRule type="cellIs" dxfId="31" priority="14" operator="lessThanOrEqual">
      <formula>2</formula>
    </cfRule>
    <cfRule type="cellIs" dxfId="30" priority="15" operator="greaterThan">
      <formula>$B$66</formula>
    </cfRule>
  </conditionalFormatting>
  <conditionalFormatting sqref="K68:Q68">
    <cfRule type="cellIs" dxfId="29" priority="13" stopIfTrue="1" operator="greaterThanOrEqual">
      <formula>0.5</formula>
    </cfRule>
  </conditionalFormatting>
  <conditionalFormatting sqref="K69:Q69">
    <cfRule type="cellIs" dxfId="28" priority="12" stopIfTrue="1" operator="greaterThanOrEqual">
      <formula>0.5</formula>
    </cfRule>
  </conditionalFormatting>
  <pageMargins left="0.39370078740157483" right="0.39370078740157483" top="0.98425196850393704" bottom="0.98425196850393704" header="0.51181102362204722" footer="0.51181102362204722"/>
  <pageSetup paperSize="9" scale="45" fitToWidth="2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O100"/>
  <sheetViews>
    <sheetView showGridLines="0" zoomScale="90" zoomScaleNormal="90" workbookViewId="0">
      <pane xSplit="1" topLeftCell="B1" activePane="topRight" state="frozen"/>
      <selection pane="topRight" activeCell="B6" sqref="B6"/>
    </sheetView>
  </sheetViews>
  <sheetFormatPr baseColWidth="10" defaultRowHeight="12.75" x14ac:dyDescent="0.2"/>
  <cols>
    <col min="1" max="1" width="36.140625" customWidth="1"/>
    <col min="2" max="12" width="17.7109375" customWidth="1"/>
  </cols>
  <sheetData>
    <row r="1" spans="1:38" s="2" customFormat="1" ht="23.25" x14ac:dyDescent="0.35">
      <c r="A1" s="7" t="s">
        <v>153</v>
      </c>
      <c r="B1" s="2" t="s">
        <v>154</v>
      </c>
    </row>
    <row r="2" spans="1:38" s="2" customFormat="1" ht="23.25" x14ac:dyDescent="0.35">
      <c r="A2" s="7"/>
      <c r="B2" s="65" t="s">
        <v>206</v>
      </c>
    </row>
    <row r="3" spans="1:38" s="2" customFormat="1" ht="23.25" x14ac:dyDescent="0.35">
      <c r="A3" s="7"/>
      <c r="B3" s="51" t="s">
        <v>202</v>
      </c>
      <c r="C3"/>
      <c r="D3"/>
      <c r="E3"/>
      <c r="F3"/>
    </row>
    <row r="4" spans="1:38" s="2" customFormat="1" ht="24.95" customHeight="1" x14ac:dyDescent="0.35">
      <c r="A4" s="7"/>
      <c r="B4" s="95" t="s">
        <v>205</v>
      </c>
      <c r="C4" s="96"/>
      <c r="D4" s="96"/>
      <c r="E4" s="96"/>
      <c r="F4" s="96"/>
      <c r="M4" s="101"/>
      <c r="N4" s="101"/>
    </row>
    <row r="5" spans="1:38" ht="12.75" customHeight="1" x14ac:dyDescent="0.2">
      <c r="A5" s="10"/>
      <c r="B5" s="11"/>
      <c r="C5" s="11"/>
      <c r="D5" s="11"/>
      <c r="E5" s="11"/>
      <c r="F5" s="11"/>
      <c r="G5" s="11"/>
      <c r="H5" s="74" t="s">
        <v>34</v>
      </c>
      <c r="I5" s="71"/>
      <c r="J5" s="11"/>
      <c r="K5" s="11"/>
      <c r="L5" s="11"/>
      <c r="M5" s="11"/>
      <c r="N5" s="12"/>
      <c r="O5" s="81"/>
      <c r="P5" s="81"/>
    </row>
    <row r="6" spans="1:38" x14ac:dyDescent="0.2">
      <c r="A6" s="17" t="s">
        <v>52</v>
      </c>
      <c r="B6" s="67">
        <v>2500</v>
      </c>
      <c r="C6" s="68" t="s">
        <v>53</v>
      </c>
      <c r="D6" s="69" t="str">
        <f>IF(OR((B6&lt;0),(B6&gt;100000)),"Wert prüfen","gültiger Wert")</f>
        <v>gültiger Wert</v>
      </c>
      <c r="E6" s="9"/>
      <c r="F6" s="9"/>
      <c r="G6" s="9"/>
      <c r="H6" s="76">
        <v>2500</v>
      </c>
      <c r="I6" s="71" t="s">
        <v>53</v>
      </c>
      <c r="J6" s="9"/>
      <c r="K6" s="9"/>
      <c r="L6" s="9"/>
      <c r="M6" s="9"/>
      <c r="N6" s="14"/>
      <c r="O6" s="81"/>
      <c r="P6" s="81"/>
    </row>
    <row r="7" spans="1:38" x14ac:dyDescent="0.2">
      <c r="A7" s="17" t="s">
        <v>71</v>
      </c>
      <c r="B7" s="67">
        <v>0</v>
      </c>
      <c r="C7" s="68" t="s">
        <v>67</v>
      </c>
      <c r="D7" s="69" t="str">
        <f>IF(OR((B7&lt;0),(B7&gt;1000000)),"Wert prüfen","gültiger Wert")</f>
        <v>gültiger Wert</v>
      </c>
      <c r="E7" s="9"/>
      <c r="F7" s="9"/>
      <c r="G7" s="9"/>
      <c r="H7" s="76">
        <v>0</v>
      </c>
      <c r="I7" s="71" t="s">
        <v>67</v>
      </c>
      <c r="J7" s="9"/>
      <c r="K7" s="9"/>
      <c r="L7" s="9"/>
      <c r="M7" s="9"/>
      <c r="N7" s="14"/>
      <c r="O7" s="81"/>
      <c r="P7" s="81"/>
    </row>
    <row r="8" spans="1:38" x14ac:dyDescent="0.2">
      <c r="A8" s="17" t="s">
        <v>74</v>
      </c>
      <c r="B8" s="67">
        <v>0</v>
      </c>
      <c r="C8" s="68" t="s">
        <v>77</v>
      </c>
      <c r="D8" s="69" t="str">
        <f>IF(OR((B8&lt;0),(B8&gt;100000)),"Wert prüfen","gültiger Wert")</f>
        <v>gültiger Wert</v>
      </c>
      <c r="E8" s="9"/>
      <c r="F8" s="9"/>
      <c r="G8" s="9"/>
      <c r="H8" s="76">
        <v>0</v>
      </c>
      <c r="I8" s="71" t="s">
        <v>67</v>
      </c>
      <c r="J8" s="9"/>
      <c r="K8" s="9"/>
      <c r="L8" s="9"/>
      <c r="M8" s="9"/>
      <c r="N8" s="14"/>
      <c r="O8" s="81"/>
      <c r="P8" s="81"/>
    </row>
    <row r="9" spans="1:38" x14ac:dyDescent="0.2">
      <c r="A9" s="17" t="s">
        <v>75</v>
      </c>
      <c r="B9" s="67">
        <v>0</v>
      </c>
      <c r="C9" s="68" t="s">
        <v>78</v>
      </c>
      <c r="D9" s="69" t="str">
        <f>IF(OR((B9&lt;0),(B9&gt;100000)),"Wert prüfen","gültiger Wert")</f>
        <v>gültiger Wert</v>
      </c>
      <c r="E9" s="9"/>
      <c r="F9" s="9"/>
      <c r="G9" s="9"/>
      <c r="H9" s="76">
        <v>0</v>
      </c>
      <c r="I9" s="71" t="s">
        <v>67</v>
      </c>
      <c r="J9" s="9"/>
      <c r="K9" s="9"/>
      <c r="L9" s="9"/>
      <c r="M9" s="9"/>
      <c r="N9" s="14"/>
      <c r="O9" s="81"/>
      <c r="P9" s="81"/>
    </row>
    <row r="10" spans="1:38" x14ac:dyDescent="0.2">
      <c r="A10" s="17" t="s">
        <v>76</v>
      </c>
      <c r="B10" s="67">
        <v>0</v>
      </c>
      <c r="C10" s="68" t="s">
        <v>67</v>
      </c>
      <c r="D10" s="69" t="str">
        <f>IF(OR((B10&lt;0),(B10&gt;1000000)),"Wert prüfen","gültiger Wert")</f>
        <v>gültiger Wert</v>
      </c>
      <c r="E10" s="9"/>
      <c r="F10" s="9"/>
      <c r="G10" s="9"/>
      <c r="H10" s="76">
        <v>0</v>
      </c>
      <c r="I10" s="71" t="s">
        <v>67</v>
      </c>
      <c r="J10" s="9"/>
      <c r="K10" s="9"/>
      <c r="L10" s="9"/>
      <c r="M10" s="9"/>
      <c r="N10" s="14"/>
      <c r="O10" s="81"/>
      <c r="P10" s="81"/>
    </row>
    <row r="11" spans="1:38" x14ac:dyDescent="0.2">
      <c r="A11" s="17" t="s">
        <v>72</v>
      </c>
      <c r="B11" s="67">
        <v>4600</v>
      </c>
      <c r="C11" s="68" t="s">
        <v>67</v>
      </c>
      <c r="D11" s="69" t="str">
        <f>IF(OR((B11&lt;0),(B11&gt;100000)),"Wert prüfen","gültiger Wert")</f>
        <v>gültiger Wert</v>
      </c>
      <c r="E11" s="9"/>
      <c r="F11" s="9"/>
      <c r="G11" s="9"/>
      <c r="H11" s="76">
        <v>4600</v>
      </c>
      <c r="I11" s="71" t="s">
        <v>67</v>
      </c>
      <c r="J11" s="17" t="s">
        <v>29</v>
      </c>
      <c r="K11" s="18"/>
      <c r="L11" s="19"/>
      <c r="M11" s="74" t="s">
        <v>34</v>
      </c>
      <c r="N11" s="71"/>
      <c r="O11" s="81"/>
      <c r="P11" s="81"/>
    </row>
    <row r="12" spans="1:38" x14ac:dyDescent="0.2">
      <c r="A12" s="17" t="s">
        <v>73</v>
      </c>
      <c r="B12" s="67">
        <v>3000</v>
      </c>
      <c r="C12" s="68" t="s">
        <v>67</v>
      </c>
      <c r="D12" s="69" t="str">
        <f>IF(OR((B12&lt;0),(B12&gt;100000)),"Wert prüfen","gültiger Wert")</f>
        <v>gültiger Wert</v>
      </c>
      <c r="E12" s="9"/>
      <c r="F12" s="9"/>
      <c r="G12" s="9"/>
      <c r="H12" s="76">
        <v>3000</v>
      </c>
      <c r="I12" s="71" t="s">
        <v>67</v>
      </c>
      <c r="J12" s="20" t="s">
        <v>39</v>
      </c>
      <c r="K12" s="73">
        <v>0.31</v>
      </c>
      <c r="L12" s="19" t="s">
        <v>33</v>
      </c>
      <c r="M12" s="99">
        <v>0.31</v>
      </c>
      <c r="N12" s="71" t="s">
        <v>33</v>
      </c>
      <c r="O12" s="81"/>
      <c r="P12" s="81"/>
    </row>
    <row r="13" spans="1:38" x14ac:dyDescent="0.2">
      <c r="A13" s="17" t="s">
        <v>85</v>
      </c>
      <c r="B13" s="70">
        <v>0.8</v>
      </c>
      <c r="C13" s="68"/>
      <c r="D13" s="69" t="str">
        <f>IF(OR((B13&lt;0.5),(B13&gt;1)),"Wert außerhalb","gültiger Wert")</f>
        <v>gültiger Wert</v>
      </c>
      <c r="E13" s="9"/>
      <c r="F13" s="9"/>
      <c r="G13" s="9"/>
      <c r="H13" s="75">
        <v>0.8</v>
      </c>
      <c r="I13" s="71"/>
      <c r="J13" s="20" t="s">
        <v>30</v>
      </c>
      <c r="K13" s="73">
        <v>0.24</v>
      </c>
      <c r="L13" s="19" t="s">
        <v>33</v>
      </c>
      <c r="M13" s="99">
        <v>0.24</v>
      </c>
      <c r="N13" s="71" t="s">
        <v>33</v>
      </c>
      <c r="O13" s="81"/>
      <c r="P13" s="81"/>
    </row>
    <row r="14" spans="1:38" x14ac:dyDescent="0.2">
      <c r="A14" s="17" t="s">
        <v>38</v>
      </c>
      <c r="B14" s="66">
        <v>1.4</v>
      </c>
      <c r="C14" s="69" t="s">
        <v>86</v>
      </c>
      <c r="D14" s="69" t="str">
        <f>IF(OR((B14&lt;0),(B14&gt;10)),"Wert prüfen","gültiger Wert")</f>
        <v>gültiger Wert</v>
      </c>
      <c r="E14" s="9"/>
      <c r="F14" s="9"/>
      <c r="G14" s="9"/>
      <c r="H14" s="91" t="s">
        <v>81</v>
      </c>
      <c r="I14" s="71"/>
      <c r="J14" s="20" t="s">
        <v>22</v>
      </c>
      <c r="K14" s="73">
        <v>0.56000000000000005</v>
      </c>
      <c r="L14" s="19" t="s">
        <v>33</v>
      </c>
      <c r="M14" s="99">
        <v>0.56000000000000005</v>
      </c>
      <c r="N14" s="71" t="s">
        <v>33</v>
      </c>
      <c r="O14" s="81"/>
      <c r="P14" s="81"/>
    </row>
    <row r="15" spans="1:38" x14ac:dyDescent="0.2">
      <c r="A15" s="17" t="s">
        <v>19</v>
      </c>
      <c r="B15" s="66">
        <v>12</v>
      </c>
      <c r="C15" s="69" t="s">
        <v>21</v>
      </c>
      <c r="D15" s="69" t="str">
        <f>IF(OR((B15&lt;3),(B15&gt;100)),"Wert prüfen","gültiger Wert")</f>
        <v>gültiger Wert</v>
      </c>
      <c r="E15" s="9"/>
      <c r="F15" s="9"/>
      <c r="G15" s="9"/>
      <c r="H15" s="91" t="s">
        <v>82</v>
      </c>
      <c r="I15" s="71"/>
      <c r="J15" s="20" t="s">
        <v>31</v>
      </c>
      <c r="K15" s="73">
        <v>0.02</v>
      </c>
      <c r="L15" s="19" t="s">
        <v>33</v>
      </c>
      <c r="M15" s="99">
        <v>0.02</v>
      </c>
      <c r="N15" s="71" t="s">
        <v>33</v>
      </c>
      <c r="O15" s="81"/>
      <c r="P15" s="81"/>
    </row>
    <row r="16" spans="1:38" x14ac:dyDescent="0.2">
      <c r="A16" s="17" t="s">
        <v>23</v>
      </c>
      <c r="B16" s="67">
        <v>100</v>
      </c>
      <c r="C16" s="69" t="s">
        <v>25</v>
      </c>
      <c r="D16" s="20" t="str">
        <f>IF(OR((B16&lt;10),(B16&gt;1000)),"Wert prüfen","gültiger Wert")</f>
        <v>gültiger Wert</v>
      </c>
      <c r="E16" s="90">
        <v>1880</v>
      </c>
      <c r="F16" s="18" t="s">
        <v>27</v>
      </c>
      <c r="G16" s="107">
        <f>B16/E16*100</f>
        <v>5.3191489361702127</v>
      </c>
      <c r="H16" s="75">
        <v>100</v>
      </c>
      <c r="I16" s="105" t="s">
        <v>25</v>
      </c>
      <c r="J16" s="20" t="s">
        <v>32</v>
      </c>
      <c r="K16" s="73">
        <v>4.1000000000000002E-2</v>
      </c>
      <c r="L16" s="19" t="s">
        <v>33</v>
      </c>
      <c r="M16" s="99">
        <v>4.1000000000000002E-2</v>
      </c>
      <c r="N16" s="71" t="s">
        <v>33</v>
      </c>
      <c r="O16" s="4"/>
      <c r="P16" s="5"/>
      <c r="Q16" s="4"/>
      <c r="R16" s="5"/>
      <c r="S16" s="4"/>
      <c r="T16" s="4"/>
      <c r="AK16" s="81"/>
      <c r="AL16" s="81"/>
    </row>
    <row r="17" spans="1:38" x14ac:dyDescent="0.2">
      <c r="A17" s="17" t="s">
        <v>24</v>
      </c>
      <c r="B17" s="67">
        <v>400</v>
      </c>
      <c r="C17" s="69" t="s">
        <v>26</v>
      </c>
      <c r="D17" s="20" t="str">
        <f>IF(OR((B17&lt;150),(B17&gt;1000)),"Wert prüfen","gültiger Wert")</f>
        <v>gültiger Wert</v>
      </c>
      <c r="E17" s="90">
        <v>5400</v>
      </c>
      <c r="F17" s="106" t="s">
        <v>28</v>
      </c>
      <c r="G17" s="107">
        <f>B17/E17*100</f>
        <v>7.4074074074074066</v>
      </c>
      <c r="H17" s="75">
        <v>400</v>
      </c>
      <c r="I17" s="105" t="s">
        <v>26</v>
      </c>
      <c r="J17" s="10"/>
      <c r="K17" s="9"/>
      <c r="L17" s="9"/>
      <c r="M17" s="97"/>
      <c r="N17" s="98"/>
      <c r="O17" s="4"/>
      <c r="P17" s="5"/>
      <c r="Q17" s="4"/>
      <c r="R17" s="5"/>
      <c r="S17" s="4"/>
      <c r="T17" s="4"/>
      <c r="AK17" s="81"/>
      <c r="AL17" s="81"/>
    </row>
    <row r="18" spans="1:38" x14ac:dyDescent="0.2">
      <c r="A18" s="17" t="s">
        <v>20</v>
      </c>
      <c r="B18" s="66">
        <v>40</v>
      </c>
      <c r="C18" s="69" t="s">
        <v>21</v>
      </c>
      <c r="D18" s="69" t="str">
        <f>IF(OR((B18&lt;10),(B18&gt;200)),"Wert prüfen","gültiger Wert")</f>
        <v>gültiger Wert</v>
      </c>
      <c r="E18" s="9"/>
      <c r="F18" s="9"/>
      <c r="G18" s="9"/>
      <c r="H18" s="91" t="s">
        <v>83</v>
      </c>
      <c r="I18" s="71"/>
      <c r="J18" s="9"/>
      <c r="K18" s="9"/>
      <c r="L18" s="9"/>
      <c r="M18" s="97"/>
      <c r="N18" s="98"/>
      <c r="O18" s="81"/>
      <c r="P18" s="81"/>
    </row>
    <row r="19" spans="1:38" x14ac:dyDescent="0.2">
      <c r="A19" s="17" t="s">
        <v>79</v>
      </c>
      <c r="B19" s="66">
        <v>28</v>
      </c>
      <c r="C19" s="69" t="s">
        <v>21</v>
      </c>
      <c r="D19" s="69" t="str">
        <f>IF(OR((B19&lt;10),(B19&gt;200)),"Wert prüfen","gültiger Wert")</f>
        <v>gültiger Wert</v>
      </c>
      <c r="E19" s="9"/>
      <c r="F19" s="9"/>
      <c r="G19" s="9"/>
      <c r="H19" s="91">
        <v>28</v>
      </c>
      <c r="I19" s="71"/>
      <c r="J19" s="9"/>
      <c r="K19" s="9"/>
      <c r="L19" s="9"/>
      <c r="M19" s="97"/>
      <c r="N19" s="98"/>
      <c r="O19" s="81"/>
      <c r="P19" s="81"/>
    </row>
    <row r="20" spans="1:38" x14ac:dyDescent="0.2">
      <c r="A20" s="17" t="s">
        <v>110</v>
      </c>
      <c r="B20" s="67">
        <v>1000</v>
      </c>
      <c r="C20" s="115" t="s">
        <v>111</v>
      </c>
      <c r="D20" s="69" t="str">
        <f>IF(OR((B20&lt;500),(B20&gt;1500)),"Wert außerhalb","gültiger Wert")</f>
        <v>gültiger Wert</v>
      </c>
      <c r="E20" s="13"/>
      <c r="F20" s="9"/>
      <c r="G20" s="14"/>
      <c r="H20" s="91">
        <v>1000</v>
      </c>
      <c r="I20" s="71" t="s">
        <v>111</v>
      </c>
      <c r="J20" s="13"/>
      <c r="K20" s="9"/>
      <c r="L20" s="9"/>
      <c r="M20" s="9"/>
      <c r="N20" s="14"/>
      <c r="O20" s="81"/>
      <c r="P20" s="81"/>
    </row>
    <row r="21" spans="1:38" x14ac:dyDescent="0.2">
      <c r="A21" s="72" t="s">
        <v>68</v>
      </c>
      <c r="B21" s="66">
        <v>0.5</v>
      </c>
      <c r="C21" s="68" t="s">
        <v>90</v>
      </c>
      <c r="D21" s="69" t="str">
        <f>IF(OR((B21&lt;0),(B21&gt;10)),"Wert prüfen","gültiger Wert")</f>
        <v>gültiger Wert</v>
      </c>
      <c r="E21" s="9"/>
      <c r="F21" s="9"/>
      <c r="G21" s="9"/>
      <c r="H21" s="127">
        <v>0.5</v>
      </c>
      <c r="I21" s="116" t="s">
        <v>90</v>
      </c>
      <c r="J21" s="13"/>
      <c r="K21" s="94"/>
      <c r="L21" s="9"/>
      <c r="M21" s="9"/>
      <c r="N21" s="14"/>
      <c r="O21" s="81"/>
      <c r="P21" s="81"/>
    </row>
    <row r="22" spans="1:38" x14ac:dyDescent="0.2">
      <c r="A22" s="72" t="s">
        <v>209</v>
      </c>
      <c r="B22" s="66">
        <v>120</v>
      </c>
      <c r="C22" s="68" t="s">
        <v>210</v>
      </c>
      <c r="D22" s="69" t="str">
        <f>IF(OR((B22&lt;10),(B22&gt;1000)),"Wert außerhalb","gültiger Wert")</f>
        <v>gültiger Wert</v>
      </c>
      <c r="E22" s="9"/>
      <c r="F22" s="9"/>
      <c r="G22" s="9"/>
      <c r="H22" s="127">
        <v>120</v>
      </c>
      <c r="I22" s="116" t="s">
        <v>210</v>
      </c>
      <c r="J22" s="13"/>
      <c r="K22" s="94"/>
      <c r="L22" s="9"/>
      <c r="M22" s="9"/>
      <c r="N22" s="14"/>
      <c r="O22" s="81"/>
      <c r="P22" s="81"/>
    </row>
    <row r="23" spans="1:38" x14ac:dyDescent="0.2">
      <c r="A23" s="17" t="s">
        <v>14</v>
      </c>
      <c r="B23" s="67">
        <v>4000</v>
      </c>
      <c r="C23" s="69" t="s">
        <v>15</v>
      </c>
      <c r="D23" s="69" t="str">
        <f>IF(OR((B23&lt;1000),(B23&gt;10000)),"Wert prüfen","gültiger Wert")</f>
        <v>gültiger Wert</v>
      </c>
      <c r="E23" s="9"/>
      <c r="F23" s="9"/>
      <c r="G23" s="9"/>
      <c r="H23" s="76" t="s">
        <v>84</v>
      </c>
      <c r="I23" s="71"/>
      <c r="J23" s="13"/>
      <c r="K23" s="9"/>
      <c r="L23" s="9"/>
      <c r="M23" s="9"/>
      <c r="N23" s="14"/>
      <c r="O23" s="81"/>
      <c r="P23" s="81"/>
    </row>
    <row r="24" spans="1:38" x14ac:dyDescent="0.2">
      <c r="A24" s="110" t="s">
        <v>87</v>
      </c>
      <c r="B24" s="152" t="s">
        <v>88</v>
      </c>
      <c r="C24" s="68" t="s">
        <v>89</v>
      </c>
      <c r="D24" s="69" t="str">
        <f>IF(OR(B24="n",B24="a"),"gültiger Wert","Fehleingabe")</f>
        <v>gültiger Wert</v>
      </c>
      <c r="E24" s="15"/>
      <c r="F24" s="15"/>
      <c r="G24" s="15"/>
      <c r="H24" s="111" t="s">
        <v>88</v>
      </c>
      <c r="I24" s="71"/>
      <c r="J24" s="108"/>
      <c r="K24" s="15"/>
      <c r="L24" s="15"/>
      <c r="M24" s="15"/>
      <c r="N24" s="16"/>
      <c r="O24" s="81"/>
      <c r="P24" s="81"/>
    </row>
    <row r="25" spans="1:38" x14ac:dyDescent="0.2">
      <c r="B25" s="3"/>
      <c r="C25" s="3"/>
      <c r="D25" s="6"/>
      <c r="E25" s="6"/>
      <c r="F25" s="3"/>
      <c r="G25" s="3"/>
      <c r="H25" s="3"/>
      <c r="I25" s="3"/>
      <c r="J25" s="6"/>
      <c r="K25" s="6"/>
      <c r="L25" s="5"/>
      <c r="M25" s="81"/>
      <c r="N25" s="81"/>
    </row>
    <row r="26" spans="1:38" x14ac:dyDescent="0.2">
      <c r="B26" s="3"/>
      <c r="C26" s="3"/>
      <c r="D26" s="6"/>
      <c r="E26" s="6"/>
      <c r="F26" s="3"/>
      <c r="G26" s="3"/>
      <c r="H26" s="3"/>
      <c r="I26" s="3"/>
      <c r="J26" s="6"/>
    </row>
    <row r="27" spans="1:38" x14ac:dyDescent="0.2">
      <c r="A27" s="23" t="s">
        <v>0</v>
      </c>
      <c r="B27" s="24" t="s">
        <v>35</v>
      </c>
      <c r="C27" s="26" t="s">
        <v>160</v>
      </c>
      <c r="D27" s="26" t="s">
        <v>164</v>
      </c>
      <c r="E27" s="26" t="s">
        <v>165</v>
      </c>
      <c r="F27" s="26" t="s">
        <v>167</v>
      </c>
      <c r="G27" s="26" t="s">
        <v>168</v>
      </c>
      <c r="H27" s="26" t="s">
        <v>200</v>
      </c>
      <c r="I27" s="26" t="s">
        <v>201</v>
      </c>
    </row>
    <row r="28" spans="1:38" x14ac:dyDescent="0.2">
      <c r="A28" s="21"/>
      <c r="B28" s="21"/>
      <c r="C28" s="21" t="s">
        <v>93</v>
      </c>
      <c r="D28" s="21" t="s">
        <v>93</v>
      </c>
      <c r="E28" s="21" t="s">
        <v>93</v>
      </c>
      <c r="F28" s="21" t="s">
        <v>93</v>
      </c>
      <c r="G28" s="21" t="s">
        <v>93</v>
      </c>
      <c r="H28" s="21" t="s">
        <v>93</v>
      </c>
      <c r="I28" s="21" t="s">
        <v>93</v>
      </c>
    </row>
    <row r="29" spans="1:38" x14ac:dyDescent="0.2">
      <c r="A29" s="21"/>
      <c r="B29" s="21"/>
      <c r="C29" s="21" t="s">
        <v>94</v>
      </c>
      <c r="D29" s="21" t="s">
        <v>94</v>
      </c>
      <c r="E29" s="21" t="s">
        <v>94</v>
      </c>
      <c r="F29" s="21" t="s">
        <v>94</v>
      </c>
      <c r="G29" s="21" t="s">
        <v>94</v>
      </c>
      <c r="H29" s="21" t="s">
        <v>94</v>
      </c>
      <c r="I29" s="21" t="s">
        <v>94</v>
      </c>
    </row>
    <row r="30" spans="1:38" s="1" customFormat="1" x14ac:dyDescent="0.2">
      <c r="A30" s="21"/>
      <c r="B30" s="21"/>
      <c r="C30" s="21" t="s">
        <v>95</v>
      </c>
      <c r="D30" s="21" t="s">
        <v>95</v>
      </c>
      <c r="E30" s="21" t="s">
        <v>95</v>
      </c>
      <c r="F30" s="21" t="s">
        <v>98</v>
      </c>
      <c r="G30" s="21" t="s">
        <v>98</v>
      </c>
      <c r="H30" s="21" t="s">
        <v>171</v>
      </c>
      <c r="I30" s="21" t="s">
        <v>96</v>
      </c>
      <c r="J30"/>
      <c r="K30"/>
      <c r="L30"/>
      <c r="M30"/>
    </row>
    <row r="31" spans="1:38" s="1" customFormat="1" x14ac:dyDescent="0.2">
      <c r="A31" s="21"/>
      <c r="B31" s="21"/>
      <c r="C31" s="21" t="s">
        <v>161</v>
      </c>
      <c r="D31" s="21" t="s">
        <v>161</v>
      </c>
      <c r="E31" s="21" t="s">
        <v>161</v>
      </c>
      <c r="F31" s="21" t="s">
        <v>161</v>
      </c>
      <c r="G31" s="21" t="s">
        <v>161</v>
      </c>
      <c r="H31" s="21" t="s">
        <v>169</v>
      </c>
      <c r="I31" s="21" t="s">
        <v>172</v>
      </c>
    </row>
    <row r="32" spans="1:38" s="1" customFormat="1" x14ac:dyDescent="0.2">
      <c r="A32" s="27"/>
      <c r="B32" s="27"/>
      <c r="C32" s="27" t="s">
        <v>163</v>
      </c>
      <c r="D32" s="27" t="s">
        <v>162</v>
      </c>
      <c r="E32" s="27" t="s">
        <v>166</v>
      </c>
      <c r="F32" s="27" t="s">
        <v>162</v>
      </c>
      <c r="G32" s="27" t="s">
        <v>166</v>
      </c>
      <c r="H32" s="27" t="s">
        <v>170</v>
      </c>
      <c r="I32" s="27" t="s">
        <v>170</v>
      </c>
    </row>
    <row r="33" spans="1:41" s="1" customFormat="1" x14ac:dyDescent="0.2">
      <c r="A33" s="21"/>
      <c r="B33" s="21"/>
      <c r="C33" s="21"/>
      <c r="D33" s="21"/>
      <c r="E33" s="21"/>
      <c r="F33" s="21"/>
      <c r="G33" s="21"/>
      <c r="H33" s="21"/>
      <c r="I33" s="21"/>
    </row>
    <row r="34" spans="1:41" s="1" customFormat="1" x14ac:dyDescent="0.2">
      <c r="A34" s="82" t="s">
        <v>91</v>
      </c>
      <c r="B34" s="38"/>
      <c r="C34" s="112">
        <v>3</v>
      </c>
      <c r="D34" s="135">
        <f>C34</f>
        <v>3</v>
      </c>
      <c r="E34" s="135">
        <f>D34</f>
        <v>3</v>
      </c>
      <c r="F34" s="112">
        <v>12</v>
      </c>
      <c r="G34" s="135">
        <f>F34</f>
        <v>12</v>
      </c>
      <c r="H34" s="135">
        <f>Berechnung!C124</f>
        <v>19.3</v>
      </c>
      <c r="I34" s="135">
        <f>Berechnung!C143</f>
        <v>17.5</v>
      </c>
    </row>
    <row r="35" spans="1:41" s="1" customFormat="1" x14ac:dyDescent="0.2">
      <c r="A35" s="82" t="s">
        <v>208</v>
      </c>
      <c r="B35" s="83"/>
      <c r="C35" s="104">
        <v>1.1000000000000001</v>
      </c>
      <c r="D35" s="113">
        <f>C35</f>
        <v>1.1000000000000001</v>
      </c>
      <c r="E35" s="113">
        <f>D35</f>
        <v>1.1000000000000001</v>
      </c>
      <c r="F35" s="104">
        <v>1.1000000000000001</v>
      </c>
      <c r="G35" s="113">
        <f>F35</f>
        <v>1.1000000000000001</v>
      </c>
      <c r="H35" s="104">
        <v>1.1000000000000001</v>
      </c>
      <c r="I35" s="104">
        <v>1.1000000000000001</v>
      </c>
    </row>
    <row r="36" spans="1:41" s="1" customFormat="1" x14ac:dyDescent="0.2">
      <c r="A36" s="82" t="s">
        <v>156</v>
      </c>
      <c r="B36" s="83"/>
      <c r="C36" s="133">
        <f>Berechnung!C84</f>
        <v>1</v>
      </c>
      <c r="D36" s="133">
        <f>Berechnung!G84</f>
        <v>8.2999999999999989</v>
      </c>
      <c r="E36" s="133">
        <f>D36</f>
        <v>8.2999999999999989</v>
      </c>
      <c r="F36" s="133">
        <f>Berechnung!C104</f>
        <v>6.2</v>
      </c>
      <c r="G36" s="133">
        <f>F36</f>
        <v>6.2</v>
      </c>
      <c r="H36" s="133">
        <f>Berechnung!C115</f>
        <v>10.600000000000001</v>
      </c>
      <c r="I36" s="133">
        <f>Berechnung!C150</f>
        <v>10.600000000000001</v>
      </c>
    </row>
    <row r="37" spans="1:41" s="1" customFormat="1" x14ac:dyDescent="0.2">
      <c r="A37" s="82" t="s">
        <v>157</v>
      </c>
      <c r="B37" s="83"/>
      <c r="C37" s="129">
        <v>3</v>
      </c>
      <c r="D37" s="129">
        <v>4.5</v>
      </c>
      <c r="E37" s="129">
        <v>4</v>
      </c>
      <c r="F37" s="129">
        <v>4.5</v>
      </c>
      <c r="G37" s="129">
        <v>4</v>
      </c>
      <c r="H37" s="129">
        <v>4</v>
      </c>
      <c r="I37" s="129">
        <v>4.5</v>
      </c>
    </row>
    <row r="38" spans="1:41" s="1" customFormat="1" x14ac:dyDescent="0.2">
      <c r="A38" s="82" t="s">
        <v>174</v>
      </c>
      <c r="B38" s="83"/>
      <c r="C38" s="130"/>
      <c r="D38" s="134">
        <f>Berechnung!G85</f>
        <v>170</v>
      </c>
      <c r="E38" s="130"/>
      <c r="F38" s="130">
        <f>Berechnung!C105</f>
        <v>130</v>
      </c>
      <c r="G38" s="130"/>
      <c r="H38" s="130"/>
      <c r="I38" s="130"/>
    </row>
    <row r="39" spans="1:41" s="1" customFormat="1" x14ac:dyDescent="0.2">
      <c r="A39" s="82" t="s">
        <v>92</v>
      </c>
      <c r="B39" s="83"/>
      <c r="C39" s="113"/>
      <c r="D39" s="114">
        <v>35</v>
      </c>
      <c r="E39" s="114">
        <v>35</v>
      </c>
      <c r="F39" s="114">
        <v>35</v>
      </c>
      <c r="G39" s="114">
        <v>35</v>
      </c>
      <c r="H39" s="114">
        <v>35</v>
      </c>
      <c r="I39" s="114">
        <v>35</v>
      </c>
    </row>
    <row r="40" spans="1:41" s="1" customFormat="1" x14ac:dyDescent="0.2">
      <c r="A40" s="82"/>
      <c r="B40" s="83"/>
      <c r="C40" s="83"/>
      <c r="D40" s="83"/>
      <c r="E40" s="83"/>
      <c r="F40" s="83"/>
      <c r="G40" s="83"/>
      <c r="H40" s="83"/>
      <c r="I40" s="83"/>
    </row>
    <row r="41" spans="1:41" s="1" customFormat="1" x14ac:dyDescent="0.2">
      <c r="A41" s="82" t="s">
        <v>7</v>
      </c>
      <c r="B41" s="83"/>
      <c r="C41" s="84">
        <v>4000</v>
      </c>
      <c r="D41" s="84">
        <v>24000</v>
      </c>
      <c r="E41" s="84">
        <v>29000</v>
      </c>
      <c r="F41" s="84">
        <v>19000</v>
      </c>
      <c r="G41" s="84">
        <v>24000</v>
      </c>
      <c r="H41" s="84">
        <v>30000</v>
      </c>
      <c r="I41" s="84">
        <v>30000</v>
      </c>
    </row>
    <row r="42" spans="1:41" s="1" customFormat="1" x14ac:dyDescent="0.2">
      <c r="A42" s="82" t="s">
        <v>175</v>
      </c>
      <c r="B42" s="83"/>
      <c r="C42" s="84"/>
      <c r="D42" s="83">
        <f>10*ROUND(118*D38/10,0)</f>
        <v>20060</v>
      </c>
      <c r="E42" s="83">
        <f t="shared" ref="E42:G42" si="0">10*ROUND(118*E38/10,0)</f>
        <v>0</v>
      </c>
      <c r="F42" s="83">
        <f t="shared" si="0"/>
        <v>15340</v>
      </c>
      <c r="G42" s="83">
        <f t="shared" si="0"/>
        <v>0</v>
      </c>
      <c r="H42" s="83">
        <v>0</v>
      </c>
      <c r="I42" s="83">
        <v>0</v>
      </c>
    </row>
    <row r="43" spans="1:41" s="1" customFormat="1" x14ac:dyDescent="0.2">
      <c r="A43" s="36" t="s">
        <v>37</v>
      </c>
      <c r="B43" s="38"/>
      <c r="C43" s="38"/>
      <c r="D43" s="84">
        <v>-9330</v>
      </c>
      <c r="E43" s="38">
        <f>D43</f>
        <v>-9330</v>
      </c>
      <c r="F43" s="38">
        <f>E43</f>
        <v>-9330</v>
      </c>
      <c r="G43" s="38">
        <f>F43</f>
        <v>-9330</v>
      </c>
      <c r="H43" s="38">
        <f>G43</f>
        <v>-9330</v>
      </c>
      <c r="I43" s="38">
        <f>H43</f>
        <v>-9330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</row>
    <row r="44" spans="1:41" s="1" customFormat="1" x14ac:dyDescent="0.2">
      <c r="A44" s="36" t="s">
        <v>36</v>
      </c>
      <c r="B44" s="38"/>
      <c r="C44" s="38"/>
      <c r="D44" s="38"/>
      <c r="E44" s="38"/>
      <c r="F44" s="38"/>
      <c r="G44" s="38"/>
      <c r="H44" s="38"/>
      <c r="I44" s="38"/>
      <c r="J44" s="3"/>
      <c r="K44" s="3"/>
      <c r="L44" s="3"/>
      <c r="M44" s="3"/>
    </row>
    <row r="45" spans="1:41" s="1" customFormat="1" x14ac:dyDescent="0.2">
      <c r="A45" s="36" t="s">
        <v>188</v>
      </c>
      <c r="B45" s="38"/>
      <c r="C45" s="84">
        <v>-4000</v>
      </c>
      <c r="D45" s="84"/>
      <c r="E45" s="84"/>
      <c r="F45" s="84"/>
      <c r="G45" s="84"/>
      <c r="H45" s="84">
        <v>15000</v>
      </c>
      <c r="I45" s="84">
        <v>15000</v>
      </c>
    </row>
    <row r="46" spans="1:41" s="1" customFormat="1" x14ac:dyDescent="0.2">
      <c r="A46" s="36" t="s">
        <v>6</v>
      </c>
      <c r="B46" s="38"/>
      <c r="C46" s="84">
        <v>8000</v>
      </c>
      <c r="D46" s="38">
        <f>C46</f>
        <v>8000</v>
      </c>
      <c r="E46" s="38">
        <f>D46</f>
        <v>8000</v>
      </c>
      <c r="F46" s="84">
        <v>13000</v>
      </c>
      <c r="G46" s="38">
        <f>F46</f>
        <v>13000</v>
      </c>
      <c r="H46" s="38">
        <f>10*ROUND((500*H34+2000)/10,0)</f>
        <v>11650</v>
      </c>
      <c r="I46" s="38">
        <f>10*ROUND((700*I34+2000)/10,0)</f>
        <v>14250</v>
      </c>
    </row>
    <row r="47" spans="1:41" s="1" customFormat="1" x14ac:dyDescent="0.2">
      <c r="A47" s="36" t="s">
        <v>11</v>
      </c>
      <c r="B47" s="38"/>
      <c r="C47" s="38"/>
      <c r="D47" s="38"/>
      <c r="E47" s="38"/>
      <c r="F47" s="38"/>
      <c r="G47" s="38"/>
      <c r="H47" s="38"/>
      <c r="I47" s="38"/>
    </row>
    <row r="48" spans="1:41" s="1" customFormat="1" x14ac:dyDescent="0.2">
      <c r="A48" s="36" t="s">
        <v>8</v>
      </c>
      <c r="B48" s="38"/>
      <c r="C48" s="38"/>
      <c r="D48" s="38"/>
      <c r="E48" s="38"/>
      <c r="F48" s="38"/>
      <c r="G48" s="38"/>
      <c r="H48" s="38"/>
      <c r="I48" s="38"/>
    </row>
    <row r="49" spans="1:13" s="1" customFormat="1" x14ac:dyDescent="0.2">
      <c r="A49" s="36" t="s">
        <v>9</v>
      </c>
      <c r="B49" s="38"/>
      <c r="C49" s="38"/>
      <c r="D49" s="38"/>
      <c r="E49" s="38"/>
      <c r="F49" s="38"/>
      <c r="G49" s="38"/>
      <c r="H49" s="38"/>
      <c r="I49" s="38"/>
    </row>
    <row r="50" spans="1:13" s="1" customFormat="1" x14ac:dyDescent="0.2">
      <c r="A50" s="36" t="s">
        <v>10</v>
      </c>
      <c r="B50" s="38"/>
      <c r="C50" s="38"/>
      <c r="D50" s="84">
        <v>6000</v>
      </c>
      <c r="E50" s="84">
        <v>6000</v>
      </c>
      <c r="F50" s="84">
        <v>6000</v>
      </c>
      <c r="G50" s="84">
        <v>6000</v>
      </c>
      <c r="H50" s="84">
        <v>6000</v>
      </c>
      <c r="I50" s="84">
        <v>6000</v>
      </c>
      <c r="J50" s="38"/>
    </row>
    <row r="51" spans="1:13" s="1" customFormat="1" x14ac:dyDescent="0.2">
      <c r="A51" s="85" t="s">
        <v>12</v>
      </c>
      <c r="B51" s="86"/>
      <c r="C51" s="86"/>
      <c r="D51" s="86"/>
      <c r="E51" s="86"/>
      <c r="F51" s="86"/>
      <c r="G51" s="86"/>
      <c r="H51" s="86"/>
      <c r="I51" s="86"/>
    </row>
    <row r="52" spans="1:13" s="1" customFormat="1" x14ac:dyDescent="0.2">
      <c r="A52" s="28" t="s">
        <v>1</v>
      </c>
      <c r="B52" s="29">
        <f t="shared" ref="B52:C52" si="1">SUM(B41:B51)</f>
        <v>0</v>
      </c>
      <c r="C52" s="29">
        <f t="shared" si="1"/>
        <v>8000</v>
      </c>
      <c r="D52" s="29">
        <f t="shared" ref="D52:E52" si="2">SUM(D41:D51)</f>
        <v>48730</v>
      </c>
      <c r="E52" s="29">
        <f t="shared" si="2"/>
        <v>33670</v>
      </c>
      <c r="F52" s="29">
        <f>SUM(F41:F51)</f>
        <v>44010</v>
      </c>
      <c r="G52" s="29">
        <f>SUM(G41:G51)</f>
        <v>33670</v>
      </c>
      <c r="H52" s="29">
        <f t="shared" ref="H52:I52" si="3">SUM(H41:H51)</f>
        <v>53320</v>
      </c>
      <c r="I52" s="29">
        <f t="shared" si="3"/>
        <v>55920</v>
      </c>
    </row>
    <row r="53" spans="1:13" s="1" customFormat="1" x14ac:dyDescent="0.2">
      <c r="A53" s="23" t="s">
        <v>203</v>
      </c>
      <c r="B53" s="92"/>
      <c r="C53" s="84">
        <v>30000</v>
      </c>
      <c r="D53" s="84">
        <v>30000</v>
      </c>
      <c r="E53" s="84">
        <v>30000</v>
      </c>
      <c r="F53" s="84">
        <v>30000</v>
      </c>
      <c r="G53" s="84">
        <v>30000</v>
      </c>
      <c r="H53" s="84">
        <v>30000</v>
      </c>
      <c r="I53" s="84">
        <v>30000</v>
      </c>
    </row>
    <row r="54" spans="1:13" s="1" customFormat="1" x14ac:dyDescent="0.2">
      <c r="A54" s="23" t="s">
        <v>204</v>
      </c>
      <c r="B54" s="92"/>
      <c r="C54" s="104">
        <v>0.6</v>
      </c>
      <c r="D54" s="104">
        <v>0.7</v>
      </c>
      <c r="E54" s="104">
        <v>0.7</v>
      </c>
      <c r="F54" s="104">
        <v>0.7</v>
      </c>
      <c r="G54" s="104">
        <v>0.7</v>
      </c>
      <c r="H54" s="104">
        <v>0.7</v>
      </c>
      <c r="I54" s="104">
        <v>0.7</v>
      </c>
    </row>
    <row r="55" spans="1:13" s="1" customFormat="1" x14ac:dyDescent="0.2">
      <c r="A55" s="23" t="s">
        <v>60</v>
      </c>
      <c r="B55" s="92"/>
      <c r="C55" s="92">
        <f>IF($B$24="a",IF(C46&gt;C53,C53,C46),0)</f>
        <v>8000</v>
      </c>
      <c r="D55" s="92">
        <f>IF($B$24="a",IF(D52-D43&gt;D53,D53,D52-D43),0)</f>
        <v>30000</v>
      </c>
      <c r="E55" s="92">
        <f>IF($B$24="a",IF(E52-E43&gt;E53,E53,E52-E43),0)</f>
        <v>30000</v>
      </c>
      <c r="F55" s="92">
        <f>IF($B$24="a",IF(F52-F43&gt;F53,F53,F52-F43),0)</f>
        <v>30000</v>
      </c>
      <c r="G55" s="92">
        <f>IF($B$24="a",IF(G52-G43&gt;G53,G53,G52-G43),0)</f>
        <v>30000</v>
      </c>
      <c r="H55" s="92">
        <f>IF($B$24="a",IF(H52-H43-H45&gt;H53,H53,H52-H43-H45),0)</f>
        <v>30000</v>
      </c>
      <c r="I55" s="92">
        <f>IF($B$24="a",IF(I52-I43-I45&gt;I53,I53,I52-I43-I45),0)</f>
        <v>30000</v>
      </c>
    </row>
    <row r="56" spans="1:13" x14ac:dyDescent="0.2">
      <c r="A56" s="23" t="s">
        <v>61</v>
      </c>
      <c r="B56" s="92"/>
      <c r="C56" s="92">
        <f>C55*C54</f>
        <v>4800</v>
      </c>
      <c r="D56" s="92">
        <f t="shared" ref="D56:I56" si="4">D55*D54</f>
        <v>21000</v>
      </c>
      <c r="E56" s="92">
        <f t="shared" si="4"/>
        <v>21000</v>
      </c>
      <c r="F56" s="92">
        <f t="shared" si="4"/>
        <v>21000</v>
      </c>
      <c r="G56" s="92">
        <f t="shared" si="4"/>
        <v>21000</v>
      </c>
      <c r="H56" s="92">
        <f t="shared" si="4"/>
        <v>21000</v>
      </c>
      <c r="I56" s="92">
        <f t="shared" si="4"/>
        <v>21000</v>
      </c>
      <c r="J56" s="1"/>
      <c r="K56" s="1"/>
      <c r="L56" s="1"/>
      <c r="M56" s="1"/>
    </row>
    <row r="57" spans="1:13" x14ac:dyDescent="0.2">
      <c r="A57" s="23" t="s">
        <v>63</v>
      </c>
      <c r="B57" s="92"/>
      <c r="C57" s="92">
        <f>IF( C34&lt;=2,2400*C34,0)</f>
        <v>0</v>
      </c>
      <c r="D57" s="92">
        <f t="shared" ref="D57:E57" si="5">IF( D34&lt;=2,2400*D34,0)</f>
        <v>0</v>
      </c>
      <c r="E57" s="92">
        <f t="shared" si="5"/>
        <v>0</v>
      </c>
      <c r="F57" s="92">
        <f>IF(B24="a",0,IF( F34&lt;=2,2400*F34,0))</f>
        <v>0</v>
      </c>
      <c r="G57" s="92">
        <f>IF(C24="a",0,IF( G34&lt;=2,2400*G34,0))</f>
        <v>0</v>
      </c>
      <c r="H57" s="92">
        <f>IF(C24="a",0,IF( H34&lt;=2,2400*H34,0))</f>
        <v>0</v>
      </c>
      <c r="I57" s="92">
        <f>IF(D24="a",0,IF( I34&lt;=2,2400*I34,0))</f>
        <v>0</v>
      </c>
    </row>
    <row r="58" spans="1:13" x14ac:dyDescent="0.2">
      <c r="A58" s="23" t="s">
        <v>64</v>
      </c>
      <c r="B58" s="92"/>
      <c r="C58" s="79"/>
      <c r="D58" s="79"/>
      <c r="E58" s="79"/>
      <c r="F58" s="79"/>
      <c r="G58" s="79"/>
      <c r="H58" s="79"/>
      <c r="I58" s="79"/>
    </row>
    <row r="59" spans="1:13" x14ac:dyDescent="0.2">
      <c r="A59" s="34" t="s">
        <v>5</v>
      </c>
      <c r="B59" s="78">
        <f>B56+B57+B58</f>
        <v>0</v>
      </c>
      <c r="C59" s="78">
        <f t="shared" ref="C59:F59" si="6">C56+C57+C58</f>
        <v>4800</v>
      </c>
      <c r="D59" s="78">
        <f t="shared" ref="D59:E59" si="7">D56+D57+D58</f>
        <v>21000</v>
      </c>
      <c r="E59" s="78">
        <f t="shared" si="7"/>
        <v>21000</v>
      </c>
      <c r="F59" s="78">
        <f t="shared" si="6"/>
        <v>21000</v>
      </c>
      <c r="G59" s="78">
        <f t="shared" ref="G59" si="8">G56+G57+G58</f>
        <v>21000</v>
      </c>
      <c r="H59" s="78">
        <f t="shared" ref="H59:I59" si="9">H56+H57+H58</f>
        <v>21000</v>
      </c>
      <c r="I59" s="78">
        <f t="shared" si="9"/>
        <v>21000</v>
      </c>
    </row>
    <row r="60" spans="1:13" x14ac:dyDescent="0.2">
      <c r="A60" s="21" t="s">
        <v>13</v>
      </c>
      <c r="B60" s="22">
        <f t="shared" ref="B60" si="10">B52-B59</f>
        <v>0</v>
      </c>
      <c r="C60" s="22">
        <f t="shared" ref="C60:F60" si="11">C52-C59</f>
        <v>3200</v>
      </c>
      <c r="D60" s="22">
        <f t="shared" ref="D60:E60" si="12">D52-D59</f>
        <v>27730</v>
      </c>
      <c r="E60" s="22">
        <f t="shared" si="12"/>
        <v>12670</v>
      </c>
      <c r="F60" s="22">
        <f t="shared" si="11"/>
        <v>23010</v>
      </c>
      <c r="G60" s="22">
        <f t="shared" ref="G60" si="13">G52-G59</f>
        <v>12670</v>
      </c>
      <c r="H60" s="22">
        <f t="shared" ref="H60:I60" si="14">H52-H59</f>
        <v>32320</v>
      </c>
      <c r="I60" s="22">
        <f t="shared" si="14"/>
        <v>34920</v>
      </c>
    </row>
    <row r="61" spans="1:13" x14ac:dyDescent="0.2">
      <c r="A61" s="28" t="s">
        <v>44</v>
      </c>
      <c r="B61" s="29">
        <v>0</v>
      </c>
      <c r="C61" s="92">
        <f>C60-$B$60</f>
        <v>3200</v>
      </c>
      <c r="D61" s="92">
        <f t="shared" ref="D61:E61" si="15">D60-$B$60</f>
        <v>27730</v>
      </c>
      <c r="E61" s="92">
        <f t="shared" si="15"/>
        <v>12670</v>
      </c>
      <c r="F61" s="92">
        <f>F60-$B$60</f>
        <v>23010</v>
      </c>
      <c r="G61" s="92">
        <f>G60-$B$60</f>
        <v>12670</v>
      </c>
      <c r="H61" s="92">
        <f t="shared" ref="H61:I61" si="16">H60-$B$60</f>
        <v>32320</v>
      </c>
      <c r="I61" s="92">
        <f t="shared" si="16"/>
        <v>34920</v>
      </c>
    </row>
    <row r="62" spans="1:13" x14ac:dyDescent="0.2">
      <c r="A62" s="23" t="s">
        <v>65</v>
      </c>
      <c r="B62" s="35">
        <f>10*ROUND((B6*10.6+B7+B8*E16+B9*E17+B10-B11)*B13/10,0)</f>
        <v>17520</v>
      </c>
      <c r="C62" s="35">
        <f>B62</f>
        <v>17520</v>
      </c>
      <c r="D62" s="35">
        <f t="shared" ref="D62:E62" si="17">C62</f>
        <v>17520</v>
      </c>
      <c r="E62" s="35">
        <f t="shared" si="17"/>
        <v>17520</v>
      </c>
      <c r="F62" s="35">
        <f>C62</f>
        <v>17520</v>
      </c>
      <c r="G62" s="35">
        <f>D62</f>
        <v>17520</v>
      </c>
      <c r="H62" s="35">
        <f>G62</f>
        <v>17520</v>
      </c>
      <c r="I62" s="35">
        <f>F62</f>
        <v>17520</v>
      </c>
    </row>
    <row r="63" spans="1:13" x14ac:dyDescent="0.2">
      <c r="A63" s="34" t="s">
        <v>66</v>
      </c>
      <c r="B63" s="35">
        <f>B11-B12</f>
        <v>1600</v>
      </c>
      <c r="C63" s="35">
        <f>B63</f>
        <v>1600</v>
      </c>
      <c r="D63" s="35">
        <f t="shared" ref="D63:E63" si="18">C63</f>
        <v>1600</v>
      </c>
      <c r="E63" s="35">
        <f t="shared" si="18"/>
        <v>1600</v>
      </c>
      <c r="F63" s="35">
        <f>C63</f>
        <v>1600</v>
      </c>
      <c r="G63" s="35">
        <f>D63</f>
        <v>1600</v>
      </c>
      <c r="H63" s="35">
        <f>G63</f>
        <v>1600</v>
      </c>
      <c r="I63" s="35">
        <f>F63</f>
        <v>1600</v>
      </c>
    </row>
    <row r="64" spans="1:13" x14ac:dyDescent="0.2">
      <c r="A64" s="82" t="s">
        <v>108</v>
      </c>
      <c r="B64" s="35"/>
      <c r="C64" s="102">
        <f>Berechnung!C72</f>
        <v>1110</v>
      </c>
      <c r="D64" s="102">
        <f>Berechnung!G72</f>
        <v>1110</v>
      </c>
      <c r="E64" s="102">
        <f>Berechnung!K72</f>
        <v>1110</v>
      </c>
      <c r="F64" s="102">
        <f>Berechnung!C33</f>
        <v>5040</v>
      </c>
      <c r="G64" s="102">
        <f>F64</f>
        <v>5040</v>
      </c>
      <c r="H64" s="102">
        <f>Berechnung!C112</f>
        <v>7720</v>
      </c>
      <c r="I64" s="102">
        <f>Berechnung!C134</f>
        <v>7000</v>
      </c>
    </row>
    <row r="65" spans="1:10" x14ac:dyDescent="0.2">
      <c r="A65" s="82" t="s">
        <v>137</v>
      </c>
      <c r="B65" s="35"/>
      <c r="C65" s="102">
        <f>Berechnung!C76</f>
        <v>4110</v>
      </c>
      <c r="D65" s="102">
        <f>Berechnung!G76</f>
        <v>4110</v>
      </c>
      <c r="E65" s="102">
        <f>Berechnung!K76</f>
        <v>4110</v>
      </c>
      <c r="F65" s="102">
        <f>Berechnung!C96</f>
        <v>8040</v>
      </c>
      <c r="G65" s="102">
        <f>F65</f>
        <v>8040</v>
      </c>
      <c r="H65" s="102">
        <f>Berechnung!C113</f>
        <v>3000</v>
      </c>
      <c r="I65" s="102">
        <f>Berechnung!C138</f>
        <v>10000</v>
      </c>
    </row>
    <row r="66" spans="1:10" x14ac:dyDescent="0.2">
      <c r="A66" s="82" t="s">
        <v>158</v>
      </c>
      <c r="B66" s="35"/>
      <c r="C66" s="132">
        <f>Berechnung!C83</f>
        <v>0.10000000000000009</v>
      </c>
      <c r="D66" s="132">
        <f>Berechnung!G83</f>
        <v>0.10000000000000053</v>
      </c>
      <c r="E66" s="132">
        <f>Berechnung!K83</f>
        <v>0</v>
      </c>
      <c r="F66" s="132">
        <f>Berechnung!C103</f>
        <v>0.70000000000000018</v>
      </c>
      <c r="G66" s="132">
        <f>Berechnung!G103</f>
        <v>0.29999999999999982</v>
      </c>
      <c r="H66" s="132">
        <f>Berechnung!C125</f>
        <v>1</v>
      </c>
      <c r="I66" s="132">
        <f>Berechnung!C149</f>
        <v>0.70000000000000018</v>
      </c>
    </row>
    <row r="67" spans="1:10" x14ac:dyDescent="0.2">
      <c r="A67" s="82" t="s">
        <v>104</v>
      </c>
      <c r="B67" s="35"/>
      <c r="C67" s="102">
        <f>IF($B$6&gt;0,10*ROUND((10.6*$B$6-C$65*10.6*$B$6/($B$74-$B$72))/10,0),0)</f>
        <v>22390</v>
      </c>
      <c r="D67" s="102">
        <v>0</v>
      </c>
      <c r="E67" s="102">
        <v>0</v>
      </c>
      <c r="F67" s="102">
        <v>0</v>
      </c>
      <c r="G67" s="102">
        <v>0</v>
      </c>
      <c r="H67" s="102">
        <v>0</v>
      </c>
      <c r="I67" s="102">
        <v>0</v>
      </c>
    </row>
    <row r="68" spans="1:10" x14ac:dyDescent="0.2">
      <c r="A68" s="36" t="s">
        <v>80</v>
      </c>
      <c r="B68" s="35"/>
      <c r="C68" s="102">
        <f>IF($B$7&gt;0,10*ROUND(($B$7-C$65*$B$7/($B$74-$B$72))/10,0),0)</f>
        <v>0</v>
      </c>
      <c r="D68" s="102">
        <v>0</v>
      </c>
      <c r="E68" s="102">
        <v>0</v>
      </c>
      <c r="F68" s="102">
        <v>0</v>
      </c>
      <c r="G68" s="102">
        <v>0</v>
      </c>
      <c r="H68" s="102">
        <v>0</v>
      </c>
      <c r="I68" s="102">
        <v>0</v>
      </c>
    </row>
    <row r="69" spans="1:10" x14ac:dyDescent="0.2">
      <c r="A69" s="36" t="s">
        <v>105</v>
      </c>
      <c r="B69" s="35"/>
      <c r="C69" s="102">
        <f>IF($B$8&gt;0,10*ROUND(($E$16*$B$8-C$65*$E$16*$B$8/($B$74-$B$72))/10,0),0)</f>
        <v>0</v>
      </c>
      <c r="D69" s="102">
        <v>0</v>
      </c>
      <c r="E69" s="102">
        <v>0</v>
      </c>
      <c r="F69" s="102">
        <v>0</v>
      </c>
      <c r="G69" s="102">
        <v>0</v>
      </c>
      <c r="H69" s="102">
        <v>0</v>
      </c>
      <c r="I69" s="102">
        <v>0</v>
      </c>
    </row>
    <row r="70" spans="1:10" x14ac:dyDescent="0.2">
      <c r="A70" s="36" t="s">
        <v>106</v>
      </c>
      <c r="B70" s="35"/>
      <c r="C70" s="102">
        <f>IF($B$9&gt;0,10*ROUND(($E$17*$B$9-C$65*$E$17*$B$9/($B$74-$B$72))/10,0),0)</f>
        <v>0</v>
      </c>
      <c r="D70" s="102">
        <v>0</v>
      </c>
      <c r="E70" s="102">
        <v>0</v>
      </c>
      <c r="F70" s="102">
        <v>0</v>
      </c>
      <c r="G70" s="102">
        <v>0</v>
      </c>
      <c r="H70" s="102">
        <v>0</v>
      </c>
      <c r="I70" s="102">
        <v>0</v>
      </c>
    </row>
    <row r="71" spans="1:10" x14ac:dyDescent="0.2">
      <c r="A71" s="36" t="s">
        <v>107</v>
      </c>
      <c r="B71" s="35"/>
      <c r="C71" s="102">
        <f>IF($B$10&gt;0,10*ROUND(($B$10-C$65*$B$10/($B$74-$B$72))/10,0),0)</f>
        <v>0</v>
      </c>
      <c r="D71" s="102">
        <v>0</v>
      </c>
      <c r="E71" s="102">
        <v>0</v>
      </c>
      <c r="F71" s="102">
        <v>0</v>
      </c>
      <c r="G71" s="102">
        <v>0</v>
      </c>
      <c r="H71" s="102">
        <v>0</v>
      </c>
      <c r="I71" s="102">
        <v>0</v>
      </c>
    </row>
    <row r="72" spans="1:10" x14ac:dyDescent="0.2">
      <c r="A72" s="36" t="s">
        <v>43</v>
      </c>
      <c r="B72" s="37">
        <f>B23</f>
        <v>4000</v>
      </c>
      <c r="C72" s="37">
        <f>B72</f>
        <v>4000</v>
      </c>
      <c r="D72" s="37">
        <f t="shared" ref="D72:E72" si="19">C72</f>
        <v>4000</v>
      </c>
      <c r="E72" s="37">
        <f t="shared" si="19"/>
        <v>4000</v>
      </c>
      <c r="F72" s="37">
        <f>C72</f>
        <v>4000</v>
      </c>
      <c r="G72" s="37">
        <f>D72</f>
        <v>4000</v>
      </c>
      <c r="H72" s="37">
        <f>G72</f>
        <v>4000</v>
      </c>
      <c r="I72" s="37">
        <f>F72</f>
        <v>4000</v>
      </c>
      <c r="J72" s="3"/>
    </row>
    <row r="73" spans="1:10" x14ac:dyDescent="0.2">
      <c r="A73" s="36" t="s">
        <v>159</v>
      </c>
      <c r="B73" s="37"/>
      <c r="C73" s="37">
        <f>Berechnung!C81</f>
        <v>160</v>
      </c>
      <c r="D73" s="37">
        <f>Berechnung!G81</f>
        <v>3250</v>
      </c>
      <c r="E73" s="37">
        <f>Berechnung!K81</f>
        <v>3710</v>
      </c>
      <c r="F73" s="37">
        <f>Berechnung!C101</f>
        <v>2150</v>
      </c>
      <c r="G73" s="37">
        <f>Berechnung!G99</f>
        <v>2770</v>
      </c>
      <c r="H73" s="37">
        <f>Berechnung!C127</f>
        <v>3820</v>
      </c>
      <c r="I73" s="37">
        <f>Berechnung!C147</f>
        <v>2340</v>
      </c>
      <c r="J73" s="3"/>
    </row>
    <row r="74" spans="1:10" x14ac:dyDescent="0.2">
      <c r="A74" s="36" t="s">
        <v>18</v>
      </c>
      <c r="B74" s="37">
        <f>10*ROUND((B6*10.6+B7+B8*$E$16+B9*$E$17+B10+B72)/10,0)</f>
        <v>30500</v>
      </c>
      <c r="C74" s="37">
        <f t="shared" ref="C74:I74" si="20">10*ROUND(SUM(C67:C73)/10,0)</f>
        <v>26550</v>
      </c>
      <c r="D74" s="37">
        <f t="shared" si="20"/>
        <v>7250</v>
      </c>
      <c r="E74" s="37">
        <f t="shared" si="20"/>
        <v>7710</v>
      </c>
      <c r="F74" s="37">
        <f t="shared" si="20"/>
        <v>6150</v>
      </c>
      <c r="G74" s="37">
        <f t="shared" si="20"/>
        <v>6770</v>
      </c>
      <c r="H74" s="37">
        <f t="shared" si="20"/>
        <v>7820</v>
      </c>
      <c r="I74" s="37">
        <f t="shared" si="20"/>
        <v>6340</v>
      </c>
    </row>
    <row r="75" spans="1:10" x14ac:dyDescent="0.2">
      <c r="A75" s="36" t="s">
        <v>40</v>
      </c>
      <c r="B75" s="38">
        <f>10*ROUND((B6*$B$14+B7*$B$15/100+B8*$B$16+B9*$B$17+B10*$B$19/100+B72*$B$18/100)/10,0)</f>
        <v>5100</v>
      </c>
      <c r="C75" s="38">
        <f t="shared" ref="C75:I75" si="21">10*ROUND((C67*$B$14/10.6+C68*$B$15/100+C69*$G$16/100+C70*$G$17/100+C71*$B$19/100+C72*$B$18/100+C73*$B$19/100)/10,0)</f>
        <v>4600</v>
      </c>
      <c r="D75" s="38">
        <f t="shared" si="21"/>
        <v>2510</v>
      </c>
      <c r="E75" s="38">
        <f t="shared" si="21"/>
        <v>2640</v>
      </c>
      <c r="F75" s="38">
        <f t="shared" si="21"/>
        <v>2200</v>
      </c>
      <c r="G75" s="38">
        <f t="shared" si="21"/>
        <v>2380</v>
      </c>
      <c r="H75" s="38">
        <f t="shared" si="21"/>
        <v>2670</v>
      </c>
      <c r="I75" s="38">
        <f t="shared" si="21"/>
        <v>2260</v>
      </c>
    </row>
    <row r="76" spans="1:10" x14ac:dyDescent="0.2">
      <c r="A76" s="21" t="s">
        <v>41</v>
      </c>
      <c r="B76" s="77">
        <v>200</v>
      </c>
      <c r="C76" s="38">
        <f>10*ROUND($B$21*(C46+C45+C41)/1000,0)+$B$76+$B$77</f>
        <v>240</v>
      </c>
      <c r="D76" s="38">
        <f t="shared" ref="D76:I76" si="22">10*ROUND($B$21*(D46+D41)/1000,0)</f>
        <v>160</v>
      </c>
      <c r="E76" s="38">
        <f t="shared" si="22"/>
        <v>190</v>
      </c>
      <c r="F76" s="38">
        <f t="shared" si="22"/>
        <v>160</v>
      </c>
      <c r="G76" s="38">
        <f t="shared" si="22"/>
        <v>190</v>
      </c>
      <c r="H76" s="38">
        <f t="shared" si="22"/>
        <v>210</v>
      </c>
      <c r="I76" s="38">
        <f t="shared" si="22"/>
        <v>220</v>
      </c>
    </row>
    <row r="77" spans="1:10" x14ac:dyDescent="0.2">
      <c r="A77" s="21" t="s">
        <v>136</v>
      </c>
      <c r="B77" s="77"/>
      <c r="C77" s="77"/>
      <c r="D77" s="77"/>
      <c r="E77" s="77"/>
      <c r="F77" s="77"/>
      <c r="G77" s="77"/>
      <c r="H77" s="77"/>
      <c r="I77" s="77"/>
    </row>
    <row r="78" spans="1:10" x14ac:dyDescent="0.2">
      <c r="A78" s="39" t="s">
        <v>42</v>
      </c>
      <c r="B78" s="40">
        <f>B75+B76+B77</f>
        <v>5300</v>
      </c>
      <c r="C78" s="40">
        <f t="shared" ref="C78:I78" si="23">C75+C76+C77</f>
        <v>4840</v>
      </c>
      <c r="D78" s="40">
        <f t="shared" ref="D78:E78" si="24">D75+D76+D77</f>
        <v>2670</v>
      </c>
      <c r="E78" s="40">
        <f t="shared" si="24"/>
        <v>2830</v>
      </c>
      <c r="F78" s="40">
        <f t="shared" si="23"/>
        <v>2360</v>
      </c>
      <c r="G78" s="40">
        <f t="shared" ref="G78" si="25">G75+G76+G77</f>
        <v>2570</v>
      </c>
      <c r="H78" s="40">
        <f t="shared" si="23"/>
        <v>2880</v>
      </c>
      <c r="I78" s="40">
        <f t="shared" si="23"/>
        <v>2480</v>
      </c>
    </row>
    <row r="79" spans="1:10" x14ac:dyDescent="0.2">
      <c r="A79" s="28" t="s">
        <v>2</v>
      </c>
      <c r="B79" s="41">
        <v>0</v>
      </c>
      <c r="C79" s="41">
        <f>-C61-20*(C78-$B$78)</f>
        <v>6000</v>
      </c>
      <c r="D79" s="41">
        <f t="shared" ref="D79:E79" si="26">-D61-20*(D78-$B$78)</f>
        <v>24870</v>
      </c>
      <c r="E79" s="41">
        <f t="shared" si="26"/>
        <v>36730</v>
      </c>
      <c r="F79" s="41">
        <f>-F61-20*(F78-$B$78)</f>
        <v>35790</v>
      </c>
      <c r="G79" s="41">
        <f t="shared" ref="G79" si="27">-G61-20*(G78-$B$78)</f>
        <v>41930</v>
      </c>
      <c r="H79" s="41">
        <f>-H61-20*(H78-$B$78)</f>
        <v>16080</v>
      </c>
      <c r="I79" s="41">
        <f>-I61-20*(I78-$B$78)</f>
        <v>21480</v>
      </c>
    </row>
    <row r="80" spans="1:10" x14ac:dyDescent="0.2">
      <c r="A80" s="28" t="s">
        <v>16</v>
      </c>
      <c r="B80" s="80"/>
      <c r="C80" s="43">
        <f>IF((($B$78-C78)=0),IF((C61&lt;=0),"sofort","nie"),IF((C61/($B$78-C78)&lt;=0),IF((C61&lt;=0),"sofort","nie"),C61/($B$78-C78)))</f>
        <v>6.9565217391304346</v>
      </c>
      <c r="D80" s="43">
        <f t="shared" ref="D80:E80" si="28">IF((($B$78-D78)=0),IF((D61&lt;=0),"sofort","nie"),IF((D61/($B$78-D78)&lt;=0),IF((D61&lt;=0),"sofort","nie"),D61/($B$78-D78)))</f>
        <v>10.543726235741445</v>
      </c>
      <c r="E80" s="43">
        <f t="shared" si="28"/>
        <v>5.1295546558704457</v>
      </c>
      <c r="F80" s="43">
        <f>IF((($B$78-F78)=0),IF((F61&lt;=0),"sofort","nie"),IF((F61/($B$78-F78)&lt;=0),IF((F61&lt;=0),"sofort","nie"),F61/($B$78-F78)))</f>
        <v>7.8265306122448983</v>
      </c>
      <c r="G80" s="43">
        <f t="shared" ref="G80" si="29">IF((($B$78-G78)=0),IF((G61&lt;=0),"sofort","nie"),IF((G61/($B$78-G78)&lt;=0),IF((G61&lt;=0),"sofort","nie"),G61/($B$78-G78)))</f>
        <v>4.6410256410256414</v>
      </c>
      <c r="H80" s="43">
        <f>IF((($B$78-H78)=0),IF((H61&lt;=0),"sofort","nie"),IF((H61/($B$78-H78)&lt;=0),IF((H61&lt;=0),"sofort","nie"),H61/($B$78-H78)))</f>
        <v>13.355371900826446</v>
      </c>
      <c r="I80" s="43">
        <f>IF((($B$78-I78)=0),IF((I61&lt;=0),"sofort","nie"),IF((I61/($B$78-I78)&lt;=0),IF((I61&lt;=0),"sofort","nie"),I61/($B$78-I78)))</f>
        <v>12.382978723404255</v>
      </c>
    </row>
    <row r="81" spans="1:16" x14ac:dyDescent="0.2">
      <c r="A81" s="28" t="s">
        <v>17</v>
      </c>
      <c r="B81" s="44">
        <f>ROUND((B6*10.6*$K$12+B7*$K$13+B8*$E$16*$K$15+B9*$E$17*$K$16+B10*$K$14+B72*$K$14)/1000,1)</f>
        <v>10.5</v>
      </c>
      <c r="C81" s="44">
        <f>ROUND((C67*$K$12+C68*$K$13+C69*$K$15+C70*$K$16+C71*$K$14+C72*$K$14+C73*$K$14)/1000,1)</f>
        <v>9.3000000000000007</v>
      </c>
      <c r="D81" s="44">
        <f t="shared" ref="D81:I81" si="30">ROUND((D67*$K$12+D68*$K$13+D69*$K$15+D70*$K$16+D71*$K$14+D72*$K$14+D73*$K$14)/1000,1)</f>
        <v>4.0999999999999996</v>
      </c>
      <c r="E81" s="44">
        <f t="shared" si="30"/>
        <v>4.3</v>
      </c>
      <c r="F81" s="44">
        <f t="shared" si="30"/>
        <v>3.4</v>
      </c>
      <c r="G81" s="44">
        <f t="shared" si="30"/>
        <v>3.8</v>
      </c>
      <c r="H81" s="44">
        <f t="shared" si="30"/>
        <v>4.4000000000000004</v>
      </c>
      <c r="I81" s="44">
        <f t="shared" si="30"/>
        <v>3.6</v>
      </c>
    </row>
    <row r="82" spans="1:16" x14ac:dyDescent="0.2">
      <c r="A82" s="28" t="s">
        <v>3</v>
      </c>
      <c r="B82" s="45">
        <v>0</v>
      </c>
      <c r="C82" s="118">
        <f>ROUND(100*($B$74-C74)/($B$74-$B$72),1)/100</f>
        <v>0.14899999999999999</v>
      </c>
      <c r="D82" s="118">
        <f t="shared" ref="D82:E82" si="31">ROUND(100*($B$74-D74)/($B$74-$B$72),1)/100</f>
        <v>0.877</v>
      </c>
      <c r="E82" s="118">
        <f t="shared" si="31"/>
        <v>0.86</v>
      </c>
      <c r="F82" s="118">
        <f>ROUND(100*($B$74-F74)/($B$74-$B$72),1)/100</f>
        <v>0.91900000000000004</v>
      </c>
      <c r="G82" s="118">
        <f t="shared" ref="G82" si="32">ROUND(100*($B$74-G74)/($B$74-$B$72),1)/100</f>
        <v>0.89500000000000002</v>
      </c>
      <c r="H82" s="118">
        <f>ROUND(100*($B$74-H74)/($B$74-$B$72),1)/100</f>
        <v>0.85599999999999998</v>
      </c>
      <c r="I82" s="118">
        <f>ROUND(100*($B$74-I74)/($B$74-$B$72),1)/100</f>
        <v>0.91200000000000003</v>
      </c>
      <c r="J82" s="4"/>
    </row>
    <row r="83" spans="1:16" x14ac:dyDescent="0.2">
      <c r="A83" s="28" t="s">
        <v>4</v>
      </c>
      <c r="B83" s="45">
        <v>0</v>
      </c>
      <c r="C83" s="118">
        <v>0</v>
      </c>
      <c r="D83" s="118">
        <v>0</v>
      </c>
      <c r="E83" s="118">
        <v>0</v>
      </c>
      <c r="F83" s="45">
        <v>0</v>
      </c>
      <c r="G83" s="45">
        <v>0</v>
      </c>
      <c r="H83" s="45">
        <v>0</v>
      </c>
      <c r="I83" s="45">
        <v>0</v>
      </c>
      <c r="J83" s="4"/>
    </row>
    <row r="84" spans="1:16" x14ac:dyDescent="0.2">
      <c r="A84" s="28" t="s">
        <v>69</v>
      </c>
      <c r="B84" s="45">
        <v>0</v>
      </c>
      <c r="C84" s="118">
        <f>ROUND(100*($B$74-C74)/$B$74,1)/100</f>
        <v>0.13</v>
      </c>
      <c r="D84" s="118">
        <f t="shared" ref="D84:E84" si="33">ROUND(100*($B$74-D74)/$B$74,1)/100</f>
        <v>0.76200000000000001</v>
      </c>
      <c r="E84" s="118">
        <f t="shared" si="33"/>
        <v>0.747</v>
      </c>
      <c r="F84" s="118">
        <f>ROUND(100*($B$74-F74)/$B$74,1)/100</f>
        <v>0.79799999999999993</v>
      </c>
      <c r="G84" s="118">
        <f t="shared" ref="G84" si="34">ROUND(100*($B$74-G74)/$B$74,1)/100</f>
        <v>0.77800000000000002</v>
      </c>
      <c r="H84" s="118">
        <f>ROUND(100*($B$74-H74)/$B$74,1)/100</f>
        <v>0.74400000000000011</v>
      </c>
      <c r="I84" s="118">
        <f>ROUND(100*($B$74-I74)/$B$74,1)/100</f>
        <v>0.79200000000000004</v>
      </c>
      <c r="J84" s="4"/>
    </row>
    <row r="85" spans="1:16" x14ac:dyDescent="0.2">
      <c r="A85" s="154" t="s">
        <v>211</v>
      </c>
      <c r="B85" s="155">
        <f>B74/$B$22</f>
        <v>254.16666666666666</v>
      </c>
      <c r="C85" s="155">
        <f t="shared" ref="C85:I85" si="35">C74/$B$22</f>
        <v>221.25</v>
      </c>
      <c r="D85" s="155">
        <f t="shared" si="35"/>
        <v>60.416666666666664</v>
      </c>
      <c r="E85" s="155">
        <f t="shared" si="35"/>
        <v>64.25</v>
      </c>
      <c r="F85" s="155">
        <f t="shared" si="35"/>
        <v>51.25</v>
      </c>
      <c r="G85" s="155">
        <f t="shared" si="35"/>
        <v>56.416666666666664</v>
      </c>
      <c r="H85" s="155">
        <f t="shared" si="35"/>
        <v>65.166666666666671</v>
      </c>
      <c r="I85" s="155">
        <f t="shared" si="35"/>
        <v>52.833333333333336</v>
      </c>
      <c r="J85" s="4"/>
    </row>
    <row r="86" spans="1:16" x14ac:dyDescent="0.2">
      <c r="A86" s="1"/>
      <c r="B86" s="4"/>
      <c r="C86" s="4"/>
      <c r="D86" s="4"/>
      <c r="E86" s="4"/>
      <c r="F86" s="4"/>
      <c r="G86" s="4"/>
      <c r="H86" s="4"/>
    </row>
    <row r="87" spans="1:16" x14ac:dyDescent="0.2">
      <c r="D87" s="6"/>
      <c r="E87" s="6"/>
      <c r="F87" s="6"/>
      <c r="G87" s="6"/>
      <c r="H87" s="6"/>
      <c r="L87" s="3"/>
    </row>
    <row r="88" spans="1:16" x14ac:dyDescent="0.2">
      <c r="B88" s="57"/>
      <c r="C88" s="48" t="s">
        <v>45</v>
      </c>
      <c r="D88" s="48"/>
      <c r="E88" s="48"/>
      <c r="F88" s="58"/>
      <c r="G88" s="59" t="s">
        <v>46</v>
      </c>
      <c r="H88" s="48"/>
      <c r="I88" s="49"/>
    </row>
    <row r="89" spans="1:16" x14ac:dyDescent="0.2">
      <c r="B89" s="60"/>
      <c r="C89" t="s">
        <v>47</v>
      </c>
      <c r="F89" s="61"/>
      <c r="G89" t="s">
        <v>48</v>
      </c>
      <c r="I89" s="52"/>
    </row>
    <row r="90" spans="1:16" x14ac:dyDescent="0.2">
      <c r="B90" s="62"/>
      <c r="C90" t="s">
        <v>49</v>
      </c>
      <c r="F90" s="63"/>
      <c r="G90" t="s">
        <v>50</v>
      </c>
      <c r="I90" s="52"/>
    </row>
    <row r="91" spans="1:16" x14ac:dyDescent="0.2">
      <c r="B91" s="64"/>
      <c r="C91" s="55" t="s">
        <v>51</v>
      </c>
      <c r="D91" s="55"/>
      <c r="E91" s="55"/>
      <c r="F91" s="55"/>
      <c r="G91" s="55"/>
      <c r="H91" s="55"/>
      <c r="I91" s="56"/>
    </row>
    <row r="93" spans="1:16" x14ac:dyDescent="0.2">
      <c r="B93" s="109"/>
      <c r="C93" s="47" t="s">
        <v>59</v>
      </c>
      <c r="D93" s="48"/>
      <c r="E93" s="48"/>
      <c r="F93" s="49"/>
      <c r="P93" s="100"/>
    </row>
    <row r="94" spans="1:16" x14ac:dyDescent="0.2">
      <c r="B94" s="50" t="s">
        <v>55</v>
      </c>
      <c r="C94" s="51" t="s">
        <v>57</v>
      </c>
      <c r="F94" s="52"/>
    </row>
    <row r="95" spans="1:16" x14ac:dyDescent="0.2">
      <c r="B95" s="53" t="s">
        <v>56</v>
      </c>
      <c r="C95" s="54" t="s">
        <v>58</v>
      </c>
      <c r="D95" s="55"/>
      <c r="E95" s="55"/>
      <c r="F95" s="56"/>
    </row>
    <row r="97" spans="2:6" x14ac:dyDescent="0.2">
      <c r="B97" t="s">
        <v>212</v>
      </c>
    </row>
    <row r="99" spans="2:6" x14ac:dyDescent="0.2">
      <c r="B99" s="157" t="s">
        <v>213</v>
      </c>
      <c r="C99" s="158" t="s">
        <v>213</v>
      </c>
      <c r="D99" s="159" t="s">
        <v>214</v>
      </c>
      <c r="E99" s="160" t="s">
        <v>214</v>
      </c>
      <c r="F99" s="161" t="s">
        <v>215</v>
      </c>
    </row>
    <row r="100" spans="2:6" x14ac:dyDescent="0.2">
      <c r="B100" s="153"/>
      <c r="C100" s="158" t="s">
        <v>216</v>
      </c>
      <c r="D100" s="159"/>
      <c r="E100" s="160" t="s">
        <v>217</v>
      </c>
      <c r="F100" s="156"/>
    </row>
  </sheetData>
  <sheetProtection algorithmName="SHA-512" hashValue="HHswXeSQpQj396Lx68Jt/0YTqvM6mTFFFnMRf0JGA7pjCWGDkKhp1iPd4Da1zcChck4iivz20MxzfK39fEOPdg==" saltValue="pGyBttR9guP7XCdEkmypSQ==" spinCount="100000" sheet="1" objects="1" scenarios="1" selectLockedCells="1"/>
  <conditionalFormatting sqref="B6:B12">
    <cfRule type="cellIs" dxfId="27" priority="124" stopIfTrue="1" operator="notBetween">
      <formula>0</formula>
      <formula>100000</formula>
    </cfRule>
  </conditionalFormatting>
  <conditionalFormatting sqref="B13">
    <cfRule type="cellIs" dxfId="26" priority="14" operator="notBetween">
      <formula>0.5</formula>
      <formula>1</formula>
    </cfRule>
  </conditionalFormatting>
  <conditionalFormatting sqref="B14">
    <cfRule type="cellIs" dxfId="25" priority="51" stopIfTrue="1" operator="notBetween">
      <formula>0</formula>
      <formula>10</formula>
    </cfRule>
  </conditionalFormatting>
  <conditionalFormatting sqref="B15">
    <cfRule type="cellIs" dxfId="24" priority="19" operator="notBetween">
      <formula>3</formula>
      <formula>100</formula>
    </cfRule>
  </conditionalFormatting>
  <conditionalFormatting sqref="B16">
    <cfRule type="cellIs" dxfId="23" priority="12" stopIfTrue="1" operator="notBetween">
      <formula>10</formula>
      <formula>1000</formula>
    </cfRule>
  </conditionalFormatting>
  <conditionalFormatting sqref="B17">
    <cfRule type="cellIs" dxfId="22" priority="11" stopIfTrue="1" operator="notBetween">
      <formula>150</formula>
      <formula>1000</formula>
    </cfRule>
  </conditionalFormatting>
  <conditionalFormatting sqref="B18:B19">
    <cfRule type="cellIs" dxfId="21" priority="84" stopIfTrue="1" operator="notBetween">
      <formula>10</formula>
      <formula>200</formula>
    </cfRule>
  </conditionalFormatting>
  <conditionalFormatting sqref="B20">
    <cfRule type="cellIs" dxfId="20" priority="83" stopIfTrue="1" operator="notBetween">
      <formula>500</formula>
      <formula>1500</formula>
    </cfRule>
  </conditionalFormatting>
  <conditionalFormatting sqref="B21">
    <cfRule type="cellIs" dxfId="19" priority="7" operator="notBetween">
      <formula>0</formula>
      <formula>10</formula>
    </cfRule>
  </conditionalFormatting>
  <conditionalFormatting sqref="B22">
    <cfRule type="cellIs" dxfId="0" priority="6" operator="notBetween">
      <formula>10</formula>
      <formula>1000</formula>
    </cfRule>
  </conditionalFormatting>
  <conditionalFormatting sqref="B23">
    <cfRule type="cellIs" dxfId="18" priority="82" stopIfTrue="1" operator="notBetween">
      <formula>1000</formula>
      <formula>10000</formula>
    </cfRule>
  </conditionalFormatting>
  <conditionalFormatting sqref="B93">
    <cfRule type="cellIs" dxfId="17" priority="17" stopIfTrue="1" operator="notBetween">
      <formula>60</formula>
      <formula>140</formula>
    </cfRule>
  </conditionalFormatting>
  <conditionalFormatting sqref="B61:I61">
    <cfRule type="cellIs" dxfId="16" priority="22" operator="lessThan">
      <formula>0</formula>
    </cfRule>
    <cfRule type="cellIs" dxfId="15" priority="23" stopIfTrue="1" operator="lessThanOrEqual">
      <formula>5000</formula>
    </cfRule>
  </conditionalFormatting>
  <conditionalFormatting sqref="B78:I78">
    <cfRule type="cellIs" dxfId="14" priority="92" operator="lessThanOrEqual">
      <formula>1500</formula>
    </cfRule>
    <cfRule type="cellIs" dxfId="13" priority="93" operator="greaterThan">
      <formula>$B$78</formula>
    </cfRule>
  </conditionalFormatting>
  <conditionalFormatting sqref="B79:I79">
    <cfRule type="cellIs" dxfId="12" priority="44" stopIfTrue="1" operator="greaterThanOrEqual">
      <formula>5000</formula>
    </cfRule>
  </conditionalFormatting>
  <conditionalFormatting sqref="B81:I81">
    <cfRule type="cellIs" dxfId="11" priority="98" operator="lessThanOrEqual">
      <formula>2</formula>
    </cfRule>
    <cfRule type="cellIs" dxfId="10" priority="99" operator="greaterThan">
      <formula>$B$81</formula>
    </cfRule>
  </conditionalFormatting>
  <conditionalFormatting sqref="B85:I85">
    <cfRule type="cellIs" dxfId="9" priority="1" operator="greaterThan">
      <formula>220</formula>
    </cfRule>
    <cfRule type="cellIs" dxfId="8" priority="2" operator="between">
      <formula>180</formula>
      <formula>220</formula>
    </cfRule>
    <cfRule type="cellIs" dxfId="7" priority="3" operator="between">
      <formula>100</formula>
      <formula>180</formula>
    </cfRule>
    <cfRule type="cellIs" dxfId="6" priority="4" operator="between">
      <formula>80</formula>
      <formula>100</formula>
    </cfRule>
    <cfRule type="cellIs" dxfId="5" priority="5" operator="lessThan">
      <formula>80</formula>
    </cfRule>
  </conditionalFormatting>
  <conditionalFormatting sqref="B82:J82 C84:I84">
    <cfRule type="cellIs" dxfId="4" priority="36" stopIfTrue="1" operator="greaterThanOrEqual">
      <formula>0.5</formula>
    </cfRule>
  </conditionalFormatting>
  <conditionalFormatting sqref="B83:J83 B84 J84:J85 B86:H86">
    <cfRule type="cellIs" dxfId="3" priority="35" stopIfTrue="1" operator="greaterThanOrEqual">
      <formula>0.5</formula>
    </cfRule>
  </conditionalFormatting>
  <conditionalFormatting sqref="C80:I80">
    <cfRule type="expression" dxfId="2" priority="131">
      <formula>OR(IF(C$61&gt;0,C$80&lt;=10,C$80&gt;30),C$79="sofort")</formula>
    </cfRule>
    <cfRule type="expression" dxfId="1" priority="132" stopIfTrue="1">
      <formula>C$61&lt;0</formula>
    </cfRule>
  </conditionalFormatting>
  <pageMargins left="0.39370078740157483" right="0.39370078740157483" top="0.98425196850393704" bottom="0.98425196850393704" header="0.51181102362204722" footer="0.51181102362204722"/>
  <pageSetup paperSize="9" scale="43" fitToWidth="2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K150"/>
  <sheetViews>
    <sheetView topLeftCell="A118" workbookViewId="0">
      <selection activeCell="B12" sqref="B12"/>
    </sheetView>
  </sheetViews>
  <sheetFormatPr baseColWidth="10" defaultRowHeight="12.75" x14ac:dyDescent="0.2"/>
  <sheetData>
    <row r="1" spans="1:5" x14ac:dyDescent="0.2">
      <c r="A1" s="51" t="s">
        <v>101</v>
      </c>
      <c r="E1" s="51" t="s">
        <v>97</v>
      </c>
    </row>
    <row r="3" spans="1:5" x14ac:dyDescent="0.2">
      <c r="A3" s="51" t="s">
        <v>100</v>
      </c>
      <c r="B3">
        <f>'Haustechnikvarianten berechnen'!C34</f>
        <v>3</v>
      </c>
      <c r="E3" t="e">
        <f>'Haustechnikvarianten berechnen'!#REF!</f>
        <v>#REF!</v>
      </c>
    </row>
    <row r="4" spans="1:5" x14ac:dyDescent="0.2">
      <c r="A4" s="51" t="s">
        <v>109</v>
      </c>
      <c r="B4" s="103">
        <f>'Haustechnikvarianten berechnen'!C35/1.1</f>
        <v>1</v>
      </c>
      <c r="E4" s="103" t="e">
        <f>'Haustechnikvarianten berechnen'!#REF!/1.1</f>
        <v>#REF!</v>
      </c>
    </row>
    <row r="5" spans="1:5" x14ac:dyDescent="0.2">
      <c r="A5" s="51" t="s">
        <v>112</v>
      </c>
      <c r="B5" s="103">
        <f>'Haustechnikvarianten berechnen'!B20</f>
        <v>1000</v>
      </c>
      <c r="E5" s="103">
        <f>B5</f>
        <v>1000</v>
      </c>
    </row>
    <row r="6" spans="1:5" x14ac:dyDescent="0.2">
      <c r="A6" s="51" t="s">
        <v>114</v>
      </c>
      <c r="B6" s="103">
        <f>'Haustechnikvarianten berechnen'!B11</f>
        <v>4600</v>
      </c>
      <c r="E6" s="103">
        <f>B6</f>
        <v>4600</v>
      </c>
    </row>
    <row r="7" spans="1:5" x14ac:dyDescent="0.2">
      <c r="A7" s="51" t="s">
        <v>138</v>
      </c>
      <c r="B7" s="103">
        <f>'Haustechnikvarianten berechnen'!$B$12</f>
        <v>3000</v>
      </c>
      <c r="E7" s="103">
        <f>B7</f>
        <v>3000</v>
      </c>
    </row>
    <row r="8" spans="1:5" x14ac:dyDescent="0.2">
      <c r="A8" s="51" t="s">
        <v>139</v>
      </c>
      <c r="B8" s="103">
        <f>B6-B7</f>
        <v>1600</v>
      </c>
      <c r="E8" s="103">
        <f>B8</f>
        <v>1600</v>
      </c>
    </row>
    <row r="9" spans="1:5" x14ac:dyDescent="0.2">
      <c r="A9" s="51" t="s">
        <v>102</v>
      </c>
      <c r="B9">
        <f>10*ROUND((10*B3+340)/10,0)</f>
        <v>370</v>
      </c>
      <c r="E9" t="e">
        <f>10*ROUND(1.3*(10*E3+340)/10,0)</f>
        <v>#REF!</v>
      </c>
    </row>
    <row r="10" spans="1:5" x14ac:dyDescent="0.2">
      <c r="A10" s="51" t="s">
        <v>103</v>
      </c>
      <c r="B10">
        <f>10*ROUND(B3*B4*B5/1000*B9/10,0)</f>
        <v>1110</v>
      </c>
      <c r="E10" t="e">
        <f>10*ROUND(E3*E4*E5/1000*E9/10,0)</f>
        <v>#REF!</v>
      </c>
    </row>
    <row r="11" spans="1:5" x14ac:dyDescent="0.2">
      <c r="A11" s="51" t="s">
        <v>140</v>
      </c>
      <c r="B11">
        <f>IF(B6=0,0,10*ROUND(B8*(1+0.77*B7/B6)/10,0))</f>
        <v>2400</v>
      </c>
      <c r="E11">
        <f>B11</f>
        <v>2400</v>
      </c>
    </row>
    <row r="12" spans="1:5" x14ac:dyDescent="0.2">
      <c r="A12" s="51" t="s">
        <v>113</v>
      </c>
      <c r="B12">
        <f>IF(B10&gt;0.7*B11,B11*0.7,B10)</f>
        <v>1110</v>
      </c>
      <c r="E12" t="e">
        <f>IF(E10&gt;0.7*E11,E11*0.7,E10)</f>
        <v>#REF!</v>
      </c>
    </row>
    <row r="13" spans="1:5" x14ac:dyDescent="0.2">
      <c r="A13" s="51" t="s">
        <v>142</v>
      </c>
      <c r="B13">
        <f>10*ROUND((B6-B11+B12)/10,0)</f>
        <v>3310</v>
      </c>
      <c r="E13" t="e">
        <f>10*ROUND((E6-E11+E12)/10,0)</f>
        <v>#REF!</v>
      </c>
    </row>
    <row r="14" spans="1:5" x14ac:dyDescent="0.2">
      <c r="A14" s="51"/>
    </row>
    <row r="17" spans="1:5" x14ac:dyDescent="0.2">
      <c r="A17" s="51" t="s">
        <v>115</v>
      </c>
      <c r="E17" s="51" t="s">
        <v>97</v>
      </c>
    </row>
    <row r="19" spans="1:5" x14ac:dyDescent="0.2">
      <c r="A19" s="51" t="s">
        <v>100</v>
      </c>
      <c r="C19">
        <f>'Haustechnikvarianten berechnen'!F34</f>
        <v>12</v>
      </c>
      <c r="E19">
        <f>'Haustechnikvarianten berechnen'!H34</f>
        <v>19.3</v>
      </c>
    </row>
    <row r="20" spans="1:5" x14ac:dyDescent="0.2">
      <c r="A20" s="51" t="s">
        <v>109</v>
      </c>
      <c r="C20" s="4">
        <f>'Haustechnikvarianten berechnen'!F35/1.1</f>
        <v>1</v>
      </c>
      <c r="E20" s="4">
        <f>'Haustechnikvarianten berechnen'!H35/1.1</f>
        <v>1</v>
      </c>
    </row>
    <row r="21" spans="1:5" x14ac:dyDescent="0.2">
      <c r="A21" s="51" t="s">
        <v>112</v>
      </c>
      <c r="C21" s="103">
        <f>B5</f>
        <v>1000</v>
      </c>
      <c r="E21" s="103">
        <f>C21</f>
        <v>1000</v>
      </c>
    </row>
    <row r="22" spans="1:5" x14ac:dyDescent="0.2">
      <c r="A22" s="51" t="s">
        <v>114</v>
      </c>
      <c r="C22" s="103">
        <f>B6</f>
        <v>4600</v>
      </c>
      <c r="E22" s="103">
        <f>C22</f>
        <v>4600</v>
      </c>
    </row>
    <row r="23" spans="1:5" x14ac:dyDescent="0.2">
      <c r="A23" s="51" t="s">
        <v>138</v>
      </c>
      <c r="C23" s="103">
        <f>B7</f>
        <v>3000</v>
      </c>
      <c r="E23" s="103">
        <f>B7</f>
        <v>3000</v>
      </c>
    </row>
    <row r="24" spans="1:5" x14ac:dyDescent="0.2">
      <c r="A24" s="51" t="s">
        <v>139</v>
      </c>
      <c r="B24" s="103"/>
      <c r="C24" s="103">
        <f>B8</f>
        <v>1600</v>
      </c>
      <c r="E24" s="103">
        <f>B8</f>
        <v>1600</v>
      </c>
    </row>
    <row r="25" spans="1:5" x14ac:dyDescent="0.2">
      <c r="A25" s="51" t="s">
        <v>119</v>
      </c>
      <c r="C25" s="103">
        <f>'Haustechnikvarianten berechnen'!B62</f>
        <v>17520</v>
      </c>
      <c r="E25" s="103">
        <f>C25</f>
        <v>17520</v>
      </c>
    </row>
    <row r="26" spans="1:5" x14ac:dyDescent="0.2">
      <c r="A26" s="51" t="s">
        <v>116</v>
      </c>
      <c r="C26">
        <f>'Haustechnikvarianten berechnen'!F39</f>
        <v>35</v>
      </c>
      <c r="E26">
        <f>'Haustechnikvarianten berechnen'!H39</f>
        <v>35</v>
      </c>
    </row>
    <row r="27" spans="1:5" x14ac:dyDescent="0.2">
      <c r="A27" s="51" t="s">
        <v>102</v>
      </c>
      <c r="C27">
        <f>IF(C19&lt;=12,360,10*ROUND((400 -90*C19/27)/10,0))</f>
        <v>360</v>
      </c>
      <c r="E27">
        <f>IF(E19&lt;=12,360,10*ROUND((400 -90*E19/27)/10,0))</f>
        <v>340</v>
      </c>
    </row>
    <row r="28" spans="1:5" x14ac:dyDescent="0.2">
      <c r="A28" s="51" t="s">
        <v>133</v>
      </c>
      <c r="C28">
        <f>IF(C22&gt;=3200,IF(C19&lt;20,10*ROUND((C27-30+0.01875*C22)/10,0),C27),C27)</f>
        <v>420</v>
      </c>
      <c r="E28">
        <f>IF(E22&gt;=3200,IF(E19&lt;20,10*ROUND((E27-30+0.01875*E22)/10,0),E27),E27)</f>
        <v>400</v>
      </c>
    </row>
    <row r="29" spans="1:5" x14ac:dyDescent="0.2">
      <c r="A29" s="51" t="s">
        <v>134</v>
      </c>
      <c r="C29">
        <f>IF(C25&lt;5000,10*ROUND((C27-26.666+2.222*C19)/10,0),C28)</f>
        <v>420</v>
      </c>
      <c r="E29">
        <f>IF(E25&lt;5000,10*ROUND((E27-26.666+2.222*E19)/10,0),E28)</f>
        <v>400</v>
      </c>
    </row>
    <row r="30" spans="1:5" x14ac:dyDescent="0.2">
      <c r="A30" s="51" t="s">
        <v>131</v>
      </c>
      <c r="C30">
        <f>10*ROUND((-1.428*C26+C29+50)/10,0)</f>
        <v>420</v>
      </c>
      <c r="E30">
        <f>10*ROUND((-1.428*E26+E29+50)/10,0)</f>
        <v>400</v>
      </c>
    </row>
    <row r="31" spans="1:5" x14ac:dyDescent="0.2">
      <c r="A31" s="51" t="s">
        <v>103</v>
      </c>
      <c r="C31">
        <f>10*ROUND(C19*C20*C21/1000*C30/10,0)</f>
        <v>5040</v>
      </c>
      <c r="E31">
        <f>10*ROUND(1.2*E19*E20*E21/1000*E30/10,0)</f>
        <v>9260</v>
      </c>
    </row>
    <row r="32" spans="1:5" x14ac:dyDescent="0.2">
      <c r="A32" s="51" t="s">
        <v>141</v>
      </c>
      <c r="C32">
        <f>B11</f>
        <v>2400</v>
      </c>
      <c r="E32">
        <f>B11</f>
        <v>2400</v>
      </c>
    </row>
    <row r="33" spans="1:5" x14ac:dyDescent="0.2">
      <c r="A33" s="51" t="s">
        <v>113</v>
      </c>
      <c r="C33">
        <f>IF(C31&gt;0.9*(C32+C25),0.9*(C32+C25),C31)</f>
        <v>5040</v>
      </c>
      <c r="E33">
        <f>IF(E31&gt;0.9*(E32+E25),0.9*(E32+E25),E31)</f>
        <v>9260</v>
      </c>
    </row>
    <row r="34" spans="1:5" x14ac:dyDescent="0.2">
      <c r="A34" s="51" t="s">
        <v>142</v>
      </c>
      <c r="C34">
        <f>10*ROUND((C22-C32+C33)/10,0)</f>
        <v>7240</v>
      </c>
      <c r="E34">
        <f>10*ROUND((E22-E32+E33)/10,0)</f>
        <v>11460</v>
      </c>
    </row>
    <row r="35" spans="1:5" x14ac:dyDescent="0.2">
      <c r="A35" s="51"/>
    </row>
    <row r="37" spans="1:5" x14ac:dyDescent="0.2">
      <c r="A37" s="51" t="s">
        <v>99</v>
      </c>
    </row>
    <row r="39" spans="1:5" x14ac:dyDescent="0.2">
      <c r="A39" s="51" t="s">
        <v>100</v>
      </c>
      <c r="C39">
        <f>'Haustechnikvarianten berechnen'!I34</f>
        <v>17.5</v>
      </c>
    </row>
    <row r="40" spans="1:5" x14ac:dyDescent="0.2">
      <c r="A40" s="51" t="s">
        <v>109</v>
      </c>
      <c r="C40" s="4">
        <f>'Haustechnikvarianten berechnen'!I35/1.1</f>
        <v>1</v>
      </c>
    </row>
    <row r="41" spans="1:5" x14ac:dyDescent="0.2">
      <c r="A41" s="51" t="s">
        <v>112</v>
      </c>
      <c r="C41" s="103">
        <f>C21</f>
        <v>1000</v>
      </c>
    </row>
    <row r="42" spans="1:5" x14ac:dyDescent="0.2">
      <c r="A42" s="51" t="s">
        <v>119</v>
      </c>
      <c r="C42" s="103">
        <f>C25</f>
        <v>17520</v>
      </c>
    </row>
    <row r="43" spans="1:5" x14ac:dyDescent="0.2">
      <c r="A43" s="51" t="s">
        <v>102</v>
      </c>
      <c r="C43">
        <f>IF(C42&gt;=18100,440,IF(C42&gt;=11000,10*ROUND((440-80*(11300/C42)^2)/10,0),370))</f>
        <v>410</v>
      </c>
    </row>
    <row r="44" spans="1:5" x14ac:dyDescent="0.2">
      <c r="A44" s="51" t="s">
        <v>103</v>
      </c>
      <c r="C44">
        <f>10*ROUND(C39*C40*C41/1000*C43/10,0)</f>
        <v>7180</v>
      </c>
    </row>
    <row r="45" spans="1:5" x14ac:dyDescent="0.2">
      <c r="A45" s="51" t="s">
        <v>113</v>
      </c>
      <c r="C45">
        <f>IF(C44&gt;C42,C42,C44)</f>
        <v>7180</v>
      </c>
    </row>
    <row r="46" spans="1:5" x14ac:dyDescent="0.2">
      <c r="A46" s="51" t="s">
        <v>142</v>
      </c>
      <c r="C46">
        <f>C45</f>
        <v>7180</v>
      </c>
    </row>
    <row r="48" spans="1:5" x14ac:dyDescent="0.2">
      <c r="A48" t="s">
        <v>117</v>
      </c>
    </row>
    <row r="49" spans="1:8" x14ac:dyDescent="0.2">
      <c r="A49" t="s">
        <v>118</v>
      </c>
      <c r="C49">
        <v>1600</v>
      </c>
      <c r="D49">
        <v>3200</v>
      </c>
      <c r="E49">
        <v>0</v>
      </c>
      <c r="H49" s="117">
        <v>3200</v>
      </c>
    </row>
    <row r="50" spans="1:8" x14ac:dyDescent="0.2">
      <c r="A50" t="s">
        <v>119</v>
      </c>
      <c r="C50">
        <v>18100</v>
      </c>
      <c r="D50">
        <v>11300</v>
      </c>
      <c r="E50">
        <v>1800</v>
      </c>
      <c r="F50">
        <v>0</v>
      </c>
      <c r="H50" s="117">
        <v>11000</v>
      </c>
    </row>
    <row r="51" spans="1:8" x14ac:dyDescent="0.2">
      <c r="A51" t="s">
        <v>120</v>
      </c>
      <c r="C51">
        <v>35</v>
      </c>
      <c r="D51">
        <v>70</v>
      </c>
      <c r="H51" s="117">
        <v>35</v>
      </c>
    </row>
    <row r="52" spans="1:8" x14ac:dyDescent="0.2">
      <c r="A52" t="s">
        <v>121</v>
      </c>
      <c r="C52" t="s">
        <v>122</v>
      </c>
      <c r="D52" t="s">
        <v>123</v>
      </c>
      <c r="E52" t="s">
        <v>124</v>
      </c>
    </row>
    <row r="53" spans="1:8" x14ac:dyDescent="0.2">
      <c r="A53" t="s">
        <v>100</v>
      </c>
      <c r="C53">
        <v>3</v>
      </c>
      <c r="D53">
        <v>6</v>
      </c>
      <c r="E53">
        <v>12</v>
      </c>
      <c r="F53">
        <v>21</v>
      </c>
      <c r="G53">
        <v>39</v>
      </c>
      <c r="H53" s="117">
        <v>3</v>
      </c>
    </row>
    <row r="55" spans="1:8" x14ac:dyDescent="0.2">
      <c r="A55" t="s">
        <v>125</v>
      </c>
    </row>
    <row r="56" spans="1:8" x14ac:dyDescent="0.2">
      <c r="A56" t="s">
        <v>126</v>
      </c>
      <c r="C56" t="s">
        <v>127</v>
      </c>
      <c r="E56">
        <f>IF(H50&gt;=18100,440,IF(H50&gt;=11000,10*ROUND((440-80*(11300/H50)^2)/10,0),370))</f>
        <v>360</v>
      </c>
    </row>
    <row r="57" spans="1:8" x14ac:dyDescent="0.2">
      <c r="C57" t="s">
        <v>128</v>
      </c>
      <c r="E57">
        <f>IF(H53&lt;=12,360,10*ROUND((400 -90*H53/27)/10,0))</f>
        <v>360</v>
      </c>
    </row>
    <row r="58" spans="1:8" x14ac:dyDescent="0.2">
      <c r="C58" t="s">
        <v>129</v>
      </c>
      <c r="E58">
        <f>IF(H49&gt;=3200,IF(H53&lt;20,10*ROUND((E57-30+0.01875*H49)/10,0),E57),E57)</f>
        <v>390</v>
      </c>
    </row>
    <row r="59" spans="1:8" x14ac:dyDescent="0.2">
      <c r="C59" t="s">
        <v>130</v>
      </c>
      <c r="E59">
        <f>IF(H50&lt;5000,10*ROUND((E57-26.666+2.222*H53)/10,0),E58)</f>
        <v>390</v>
      </c>
    </row>
    <row r="60" spans="1:8" x14ac:dyDescent="0.2">
      <c r="C60" t="s">
        <v>131</v>
      </c>
      <c r="E60">
        <f>10*ROUND((-1.428*H51+E59+50)/10,0)</f>
        <v>390</v>
      </c>
    </row>
    <row r="61" spans="1:8" x14ac:dyDescent="0.2">
      <c r="C61" t="s">
        <v>123</v>
      </c>
      <c r="E61">
        <f>10*ROUND(1.19*E60/10,0)</f>
        <v>460</v>
      </c>
    </row>
    <row r="62" spans="1:8" x14ac:dyDescent="0.2">
      <c r="C62" t="s">
        <v>132</v>
      </c>
      <c r="E62">
        <f>10*ROUND((10*H53+340)/10,0)</f>
        <v>370</v>
      </c>
    </row>
    <row r="65" spans="1:11" x14ac:dyDescent="0.2">
      <c r="A65" t="s">
        <v>173</v>
      </c>
    </row>
    <row r="67" spans="1:11" x14ac:dyDescent="0.2">
      <c r="A67" s="51" t="s">
        <v>176</v>
      </c>
      <c r="E67" s="51" t="s">
        <v>177</v>
      </c>
      <c r="I67" s="51" t="s">
        <v>178</v>
      </c>
    </row>
    <row r="68" spans="1:11" x14ac:dyDescent="0.2">
      <c r="A68" t="s">
        <v>110</v>
      </c>
      <c r="C68" s="103">
        <f>B5</f>
        <v>1000</v>
      </c>
      <c r="E68" t="s">
        <v>110</v>
      </c>
      <c r="G68" s="103">
        <f>C68</f>
        <v>1000</v>
      </c>
      <c r="I68" t="s">
        <v>110</v>
      </c>
      <c r="K68" s="103">
        <f>G68</f>
        <v>1000</v>
      </c>
    </row>
    <row r="69" spans="1:11" x14ac:dyDescent="0.2">
      <c r="A69" t="s">
        <v>109</v>
      </c>
      <c r="C69" s="103">
        <f>B4</f>
        <v>1</v>
      </c>
      <c r="E69" t="s">
        <v>109</v>
      </c>
      <c r="G69" s="103">
        <f>C69</f>
        <v>1</v>
      </c>
      <c r="I69" t="s">
        <v>109</v>
      </c>
      <c r="K69" s="103">
        <f>G69</f>
        <v>1</v>
      </c>
    </row>
    <row r="70" spans="1:11" x14ac:dyDescent="0.2">
      <c r="A70" t="s">
        <v>100</v>
      </c>
      <c r="C70">
        <f>'Haustechnikvarianten berechnen'!C34</f>
        <v>3</v>
      </c>
      <c r="E70" t="s">
        <v>100</v>
      </c>
      <c r="G70">
        <f>C70</f>
        <v>3</v>
      </c>
      <c r="I70" t="s">
        <v>100</v>
      </c>
      <c r="K70">
        <f>G70</f>
        <v>3</v>
      </c>
    </row>
    <row r="71" spans="1:11" x14ac:dyDescent="0.2">
      <c r="A71" t="s">
        <v>143</v>
      </c>
      <c r="C71">
        <f>C68*C69*C70</f>
        <v>3000</v>
      </c>
      <c r="E71" t="s">
        <v>143</v>
      </c>
      <c r="G71">
        <f>G68*G69*G70</f>
        <v>3000</v>
      </c>
      <c r="I71" t="s">
        <v>143</v>
      </c>
      <c r="K71">
        <f>K68*K69*K70</f>
        <v>3000</v>
      </c>
    </row>
    <row r="72" spans="1:11" x14ac:dyDescent="0.2">
      <c r="A72" t="s">
        <v>103</v>
      </c>
      <c r="C72">
        <f>B10</f>
        <v>1110</v>
      </c>
      <c r="E72" t="s">
        <v>103</v>
      </c>
      <c r="G72">
        <f>C72</f>
        <v>1110</v>
      </c>
      <c r="I72" t="s">
        <v>103</v>
      </c>
      <c r="K72">
        <f>G72</f>
        <v>1110</v>
      </c>
    </row>
    <row r="73" spans="1:11" x14ac:dyDescent="0.2">
      <c r="A73" t="s">
        <v>144</v>
      </c>
      <c r="C73">
        <f>C71-C72</f>
        <v>1890</v>
      </c>
      <c r="E73" t="s">
        <v>144</v>
      </c>
      <c r="G73">
        <f>G71-G72</f>
        <v>1890</v>
      </c>
      <c r="I73" t="s">
        <v>144</v>
      </c>
      <c r="K73">
        <f>K71-K72</f>
        <v>1890</v>
      </c>
    </row>
    <row r="74" spans="1:11" x14ac:dyDescent="0.2">
      <c r="A74" t="s">
        <v>146</v>
      </c>
      <c r="C74">
        <v>0</v>
      </c>
      <c r="E74" t="s">
        <v>146</v>
      </c>
      <c r="G74">
        <v>0.2</v>
      </c>
      <c r="I74" t="s">
        <v>146</v>
      </c>
      <c r="K74">
        <v>0.1</v>
      </c>
    </row>
    <row r="75" spans="1:11" x14ac:dyDescent="0.2">
      <c r="A75" t="s">
        <v>145</v>
      </c>
      <c r="C75">
        <f>C73*C74</f>
        <v>0</v>
      </c>
      <c r="E75" t="s">
        <v>145</v>
      </c>
      <c r="G75">
        <f>G73*G74</f>
        <v>378</v>
      </c>
      <c r="I75" t="s">
        <v>145</v>
      </c>
      <c r="K75">
        <f>K73*K74</f>
        <v>189</v>
      </c>
    </row>
    <row r="76" spans="1:11" x14ac:dyDescent="0.2">
      <c r="A76" t="s">
        <v>142</v>
      </c>
      <c r="C76" s="103">
        <f>C23+C72</f>
        <v>4110</v>
      </c>
      <c r="E76" t="s">
        <v>142</v>
      </c>
      <c r="G76" s="103">
        <f>C76</f>
        <v>4110</v>
      </c>
      <c r="I76" t="s">
        <v>142</v>
      </c>
      <c r="K76" s="103">
        <f>G76</f>
        <v>4110</v>
      </c>
    </row>
    <row r="77" spans="1:11" x14ac:dyDescent="0.2">
      <c r="A77" s="51" t="s">
        <v>179</v>
      </c>
      <c r="C77" s="103">
        <f>B8-C72</f>
        <v>490</v>
      </c>
      <c r="E77" t="s">
        <v>151</v>
      </c>
      <c r="G77" s="103">
        <f>C24+C25-G76</f>
        <v>15010</v>
      </c>
      <c r="I77" t="s">
        <v>151</v>
      </c>
      <c r="K77" s="103">
        <f>G77</f>
        <v>15010</v>
      </c>
    </row>
    <row r="78" spans="1:11" x14ac:dyDescent="0.2">
      <c r="A78" t="s">
        <v>148</v>
      </c>
      <c r="C78" s="131">
        <f>'Haustechnikvarianten berechnen'!C37</f>
        <v>3</v>
      </c>
      <c r="E78" t="s">
        <v>148</v>
      </c>
      <c r="G78">
        <f>'Haustechnikvarianten berechnen'!D37</f>
        <v>4.5</v>
      </c>
      <c r="I78" t="s">
        <v>148</v>
      </c>
      <c r="K78">
        <f>'Haustechnikvarianten berechnen'!E37</f>
        <v>4</v>
      </c>
    </row>
    <row r="79" spans="1:11" x14ac:dyDescent="0.2">
      <c r="A79" t="s">
        <v>22</v>
      </c>
      <c r="C79">
        <f>C77/C78</f>
        <v>163.33333333333334</v>
      </c>
      <c r="E79" t="s">
        <v>22</v>
      </c>
      <c r="G79">
        <f>G77/G78</f>
        <v>3335.5555555555557</v>
      </c>
      <c r="I79" t="s">
        <v>22</v>
      </c>
      <c r="K79">
        <f>K77/K78</f>
        <v>3752.5</v>
      </c>
    </row>
    <row r="80" spans="1:11" x14ac:dyDescent="0.2">
      <c r="A80" t="s">
        <v>152</v>
      </c>
      <c r="C80" s="103">
        <f>C77-C75</f>
        <v>490</v>
      </c>
      <c r="E80" t="s">
        <v>152</v>
      </c>
      <c r="G80" s="103">
        <f>G77-G75</f>
        <v>14632</v>
      </c>
      <c r="I80" t="s">
        <v>152</v>
      </c>
      <c r="K80" s="103">
        <f>K77-K75</f>
        <v>14821</v>
      </c>
    </row>
    <row r="81" spans="1:11" x14ac:dyDescent="0.2">
      <c r="A81" t="s">
        <v>22</v>
      </c>
      <c r="C81">
        <f>10*ROUND(C80/C78/10,0)</f>
        <v>160</v>
      </c>
      <c r="E81" t="s">
        <v>22</v>
      </c>
      <c r="G81">
        <f>10*ROUND(G80/G78/10,0)</f>
        <v>3250</v>
      </c>
      <c r="I81" t="s">
        <v>22</v>
      </c>
      <c r="K81">
        <f>10*ROUND(K80/K78/10,0)</f>
        <v>3710</v>
      </c>
    </row>
    <row r="82" spans="1:11" x14ac:dyDescent="0.2">
      <c r="A82" t="s">
        <v>149</v>
      </c>
      <c r="C82">
        <f>10*ROUND(C77/C81/10,2)</f>
        <v>3.1</v>
      </c>
      <c r="E82" t="s">
        <v>149</v>
      </c>
      <c r="G82">
        <f>10*ROUND(G77/G81/10,2)</f>
        <v>4.6000000000000005</v>
      </c>
      <c r="I82" t="s">
        <v>149</v>
      </c>
      <c r="K82">
        <f>10*ROUND(K77/K81/10,2)</f>
        <v>4</v>
      </c>
    </row>
    <row r="83" spans="1:11" x14ac:dyDescent="0.2">
      <c r="A83" t="s">
        <v>150</v>
      </c>
      <c r="C83">
        <f>C82-C78</f>
        <v>0.10000000000000009</v>
      </c>
      <c r="E83" t="s">
        <v>150</v>
      </c>
      <c r="G83">
        <f>G82-G78</f>
        <v>0.10000000000000053</v>
      </c>
      <c r="I83" t="s">
        <v>150</v>
      </c>
      <c r="K83">
        <f>K82-K78</f>
        <v>0</v>
      </c>
    </row>
    <row r="84" spans="1:11" x14ac:dyDescent="0.2">
      <c r="A84" s="51" t="s">
        <v>180</v>
      </c>
      <c r="C84">
        <f>10*ROUND(B8/18000,1)</f>
        <v>1</v>
      </c>
      <c r="E84" s="51" t="s">
        <v>180</v>
      </c>
      <c r="G84">
        <f>10*ROUND(G77/18000,2)</f>
        <v>8.2999999999999989</v>
      </c>
    </row>
    <row r="85" spans="1:11" x14ac:dyDescent="0.2">
      <c r="E85" s="51" t="s">
        <v>181</v>
      </c>
      <c r="G85">
        <f>10*ROUND(G84*(G78-1)/G78/0.05*1.3/10,0)</f>
        <v>170</v>
      </c>
    </row>
    <row r="87" spans="1:11" x14ac:dyDescent="0.2">
      <c r="A87" s="51" t="s">
        <v>182</v>
      </c>
      <c r="E87" s="51" t="s">
        <v>183</v>
      </c>
    </row>
    <row r="88" spans="1:11" x14ac:dyDescent="0.2">
      <c r="A88" t="s">
        <v>110</v>
      </c>
      <c r="C88" s="103">
        <f>C68</f>
        <v>1000</v>
      </c>
      <c r="E88" t="s">
        <v>110</v>
      </c>
      <c r="G88" s="103">
        <f>C88</f>
        <v>1000</v>
      </c>
    </row>
    <row r="89" spans="1:11" x14ac:dyDescent="0.2">
      <c r="A89" t="s">
        <v>109</v>
      </c>
      <c r="C89" s="103">
        <f>'Haustechnikvarianten berechnen'!F35/1.1</f>
        <v>1</v>
      </c>
      <c r="E89" t="s">
        <v>109</v>
      </c>
      <c r="G89" s="103">
        <f>C89</f>
        <v>1</v>
      </c>
    </row>
    <row r="90" spans="1:11" x14ac:dyDescent="0.2">
      <c r="A90" t="s">
        <v>100</v>
      </c>
      <c r="C90">
        <f>'Haustechnikvarianten berechnen'!F34</f>
        <v>12</v>
      </c>
      <c r="E90" t="s">
        <v>100</v>
      </c>
      <c r="G90">
        <f>C90</f>
        <v>12</v>
      </c>
    </row>
    <row r="91" spans="1:11" x14ac:dyDescent="0.2">
      <c r="A91" t="s">
        <v>143</v>
      </c>
      <c r="C91">
        <f>C88*C89*C90</f>
        <v>12000</v>
      </c>
      <c r="E91" t="s">
        <v>143</v>
      </c>
      <c r="G91">
        <f>G88*G89*G90</f>
        <v>12000</v>
      </c>
    </row>
    <row r="92" spans="1:11" x14ac:dyDescent="0.2">
      <c r="A92" t="s">
        <v>103</v>
      </c>
      <c r="C92">
        <f>C31</f>
        <v>5040</v>
      </c>
      <c r="E92" t="s">
        <v>103</v>
      </c>
      <c r="G92">
        <f>C92</f>
        <v>5040</v>
      </c>
    </row>
    <row r="93" spans="1:11" x14ac:dyDescent="0.2">
      <c r="A93" t="s">
        <v>144</v>
      </c>
      <c r="C93">
        <f>C91-C92</f>
        <v>6960</v>
      </c>
      <c r="E93" t="s">
        <v>144</v>
      </c>
      <c r="G93">
        <f>G91-G92</f>
        <v>6960</v>
      </c>
    </row>
    <row r="94" spans="1:11" x14ac:dyDescent="0.2">
      <c r="A94" t="s">
        <v>146</v>
      </c>
      <c r="C94">
        <v>0.2</v>
      </c>
      <c r="E94" t="s">
        <v>146</v>
      </c>
      <c r="G94">
        <v>0.1</v>
      </c>
    </row>
    <row r="95" spans="1:11" x14ac:dyDescent="0.2">
      <c r="A95" t="s">
        <v>145</v>
      </c>
      <c r="C95">
        <f>C93*C94</f>
        <v>1392</v>
      </c>
      <c r="E95" t="s">
        <v>145</v>
      </c>
      <c r="G95">
        <f>G93*G94</f>
        <v>696</v>
      </c>
    </row>
    <row r="96" spans="1:11" x14ac:dyDescent="0.2">
      <c r="A96" t="s">
        <v>142</v>
      </c>
      <c r="C96" s="103">
        <f>C92+B7</f>
        <v>8040</v>
      </c>
      <c r="E96" t="s">
        <v>142</v>
      </c>
      <c r="G96" s="103">
        <f>C96</f>
        <v>8040</v>
      </c>
    </row>
    <row r="97" spans="1:7" x14ac:dyDescent="0.2">
      <c r="A97" t="s">
        <v>151</v>
      </c>
      <c r="C97" s="103">
        <f>C24+C25-C96</f>
        <v>11080</v>
      </c>
      <c r="E97" t="s">
        <v>151</v>
      </c>
      <c r="G97" s="103">
        <f>C97</f>
        <v>11080</v>
      </c>
    </row>
    <row r="98" spans="1:7" x14ac:dyDescent="0.2">
      <c r="A98" t="s">
        <v>148</v>
      </c>
      <c r="C98">
        <f>'Haustechnikvarianten berechnen'!F37</f>
        <v>4.5</v>
      </c>
      <c r="E98" t="s">
        <v>148</v>
      </c>
      <c r="G98">
        <f>'Haustechnikvarianten berechnen'!G37</f>
        <v>4</v>
      </c>
    </row>
    <row r="99" spans="1:7" x14ac:dyDescent="0.2">
      <c r="A99" t="s">
        <v>22</v>
      </c>
      <c r="C99">
        <f>C97/C98</f>
        <v>2462.2222222222222</v>
      </c>
      <c r="E99" t="s">
        <v>22</v>
      </c>
      <c r="G99">
        <f>G97/G98</f>
        <v>2770</v>
      </c>
    </row>
    <row r="100" spans="1:7" x14ac:dyDescent="0.2">
      <c r="A100" t="s">
        <v>152</v>
      </c>
      <c r="C100" s="103">
        <f>C97-C95</f>
        <v>9688</v>
      </c>
      <c r="E100" t="s">
        <v>152</v>
      </c>
      <c r="G100" s="103">
        <f>G97-G95</f>
        <v>10384</v>
      </c>
    </row>
    <row r="101" spans="1:7" x14ac:dyDescent="0.2">
      <c r="A101" t="s">
        <v>22</v>
      </c>
      <c r="C101">
        <f>10*ROUND(C100/C98/10,0)</f>
        <v>2150</v>
      </c>
      <c r="E101" t="s">
        <v>22</v>
      </c>
      <c r="G101">
        <f>10*ROUND(G100/G98/10,0)</f>
        <v>2600</v>
      </c>
    </row>
    <row r="102" spans="1:7" x14ac:dyDescent="0.2">
      <c r="A102" t="s">
        <v>149</v>
      </c>
      <c r="C102">
        <f>10*ROUND(C97/C101/10,2)</f>
        <v>5.2</v>
      </c>
      <c r="E102" t="s">
        <v>149</v>
      </c>
      <c r="G102">
        <f>10*ROUND(G97/G101/10,2)</f>
        <v>4.3</v>
      </c>
    </row>
    <row r="103" spans="1:7" x14ac:dyDescent="0.2">
      <c r="A103" t="s">
        <v>150</v>
      </c>
      <c r="C103">
        <f>C102-C98</f>
        <v>0.70000000000000018</v>
      </c>
      <c r="E103" t="s">
        <v>150</v>
      </c>
      <c r="G103">
        <f>G102-G98</f>
        <v>0.29999999999999982</v>
      </c>
    </row>
    <row r="104" spans="1:7" x14ac:dyDescent="0.2">
      <c r="A104" s="51" t="s">
        <v>180</v>
      </c>
      <c r="C104">
        <f>10*ROUND(C97/18000,2)</f>
        <v>6.2</v>
      </c>
    </row>
    <row r="105" spans="1:7" x14ac:dyDescent="0.2">
      <c r="A105" s="51" t="s">
        <v>181</v>
      </c>
      <c r="C105">
        <f>10*ROUND(C104*(C98-1)/C98/0.05*1.3/10,0)</f>
        <v>130</v>
      </c>
    </row>
    <row r="107" spans="1:7" x14ac:dyDescent="0.2">
      <c r="A107" s="51" t="s">
        <v>184</v>
      </c>
    </row>
    <row r="108" spans="1:7" x14ac:dyDescent="0.2">
      <c r="A108" t="s">
        <v>110</v>
      </c>
      <c r="C108" s="103">
        <f>C88</f>
        <v>1000</v>
      </c>
      <c r="E108" s="51"/>
    </row>
    <row r="109" spans="1:7" x14ac:dyDescent="0.2">
      <c r="A109" t="s">
        <v>109</v>
      </c>
      <c r="C109" s="103">
        <f>'Haustechnikvarianten berechnen'!H35/1.1</f>
        <v>1</v>
      </c>
      <c r="E109" s="51"/>
      <c r="G109" s="4"/>
    </row>
    <row r="110" spans="1:7" x14ac:dyDescent="0.2">
      <c r="A110" t="s">
        <v>100</v>
      </c>
      <c r="C110">
        <f>C124</f>
        <v>19.3</v>
      </c>
      <c r="E110" s="51"/>
      <c r="G110" s="103"/>
    </row>
    <row r="111" spans="1:7" x14ac:dyDescent="0.2">
      <c r="A111" t="s">
        <v>143</v>
      </c>
      <c r="C111">
        <f>C108*C109*C110</f>
        <v>19300</v>
      </c>
      <c r="E111" s="51"/>
      <c r="G111" s="103"/>
    </row>
    <row r="112" spans="1:7" x14ac:dyDescent="0.2">
      <c r="A112" t="s">
        <v>103</v>
      </c>
      <c r="C112">
        <f>C110*C123</f>
        <v>7720</v>
      </c>
      <c r="E112" s="51"/>
      <c r="G112" s="103"/>
    </row>
    <row r="113" spans="1:7" x14ac:dyDescent="0.2">
      <c r="A113" t="s">
        <v>142</v>
      </c>
      <c r="C113" s="103">
        <f>B7</f>
        <v>3000</v>
      </c>
      <c r="E113" s="51"/>
    </row>
    <row r="114" spans="1:7" x14ac:dyDescent="0.2">
      <c r="A114" s="51" t="s">
        <v>147</v>
      </c>
      <c r="C114" s="103">
        <f>C24+C25</f>
        <v>19120</v>
      </c>
      <c r="E114" s="51"/>
    </row>
    <row r="115" spans="1:7" x14ac:dyDescent="0.2">
      <c r="A115" s="51" t="s">
        <v>180</v>
      </c>
      <c r="C115">
        <f>10*ROUND(C114/18000,2)</f>
        <v>10.600000000000001</v>
      </c>
    </row>
    <row r="116" spans="1:7" x14ac:dyDescent="0.2">
      <c r="A116" s="51" t="s">
        <v>191</v>
      </c>
      <c r="C116" s="103">
        <f>C114*(C117-1)/C117</f>
        <v>14340</v>
      </c>
      <c r="E116" s="51"/>
    </row>
    <row r="117" spans="1:7" x14ac:dyDescent="0.2">
      <c r="A117" t="s">
        <v>148</v>
      </c>
      <c r="C117">
        <f>'Haustechnikvarianten berechnen'!H37</f>
        <v>4</v>
      </c>
      <c r="E117" s="51"/>
      <c r="G117" s="103"/>
    </row>
    <row r="118" spans="1:7" x14ac:dyDescent="0.2">
      <c r="A118" t="s">
        <v>22</v>
      </c>
      <c r="C118">
        <f>C114/C117</f>
        <v>4780</v>
      </c>
      <c r="E118" s="51"/>
    </row>
    <row r="119" spans="1:7" x14ac:dyDescent="0.2">
      <c r="A119" s="51" t="s">
        <v>193</v>
      </c>
      <c r="C119" s="103">
        <f>2.45^2/4*PI()*2+2.7*2.45*PI()</f>
        <v>30.210340355082852</v>
      </c>
      <c r="E119" s="51"/>
    </row>
    <row r="120" spans="1:7" x14ac:dyDescent="0.2">
      <c r="A120" s="51" t="s">
        <v>194</v>
      </c>
      <c r="C120" s="103">
        <v>25</v>
      </c>
      <c r="E120" s="51"/>
    </row>
    <row r="121" spans="1:7" x14ac:dyDescent="0.2">
      <c r="A121" s="51" t="s">
        <v>192</v>
      </c>
      <c r="C121" s="103">
        <f>C120*C119/1000*8760</f>
        <v>6616.0645377631454</v>
      </c>
      <c r="E121" s="51"/>
    </row>
    <row r="122" spans="1:7" x14ac:dyDescent="0.2">
      <c r="A122" s="51" t="s">
        <v>195</v>
      </c>
      <c r="C122" s="103">
        <f>IF(C116-C121&lt;0,0,C116-C121)</f>
        <v>7723.9354622368546</v>
      </c>
      <c r="E122" s="51"/>
    </row>
    <row r="123" spans="1:7" x14ac:dyDescent="0.2">
      <c r="A123" s="51" t="s">
        <v>185</v>
      </c>
      <c r="C123" s="103">
        <v>400</v>
      </c>
      <c r="E123" s="51"/>
    </row>
    <row r="124" spans="1:7" x14ac:dyDescent="0.2">
      <c r="A124" s="51" t="s">
        <v>186</v>
      </c>
      <c r="C124">
        <f>10*ROUND(C122/C123/10,2)</f>
        <v>19.3</v>
      </c>
      <c r="E124" s="51"/>
    </row>
    <row r="125" spans="1:7" x14ac:dyDescent="0.2">
      <c r="A125" t="s">
        <v>150</v>
      </c>
      <c r="C125">
        <v>1</v>
      </c>
    </row>
    <row r="126" spans="1:7" x14ac:dyDescent="0.2">
      <c r="A126" t="s">
        <v>149</v>
      </c>
      <c r="C126">
        <f>C117+C125</f>
        <v>5</v>
      </c>
    </row>
    <row r="127" spans="1:7" x14ac:dyDescent="0.2">
      <c r="A127" t="s">
        <v>22</v>
      </c>
      <c r="C127">
        <f>10*ROUND(C114/C126/10,0)</f>
        <v>3820</v>
      </c>
    </row>
    <row r="129" spans="1:7" x14ac:dyDescent="0.2">
      <c r="A129" s="51" t="s">
        <v>187</v>
      </c>
    </row>
    <row r="130" spans="1:7" x14ac:dyDescent="0.2">
      <c r="A130" t="s">
        <v>110</v>
      </c>
      <c r="C130" s="103">
        <f>C108</f>
        <v>1000</v>
      </c>
      <c r="E130" s="51" t="s">
        <v>100</v>
      </c>
      <c r="G130">
        <f>C132</f>
        <v>17.5</v>
      </c>
    </row>
    <row r="131" spans="1:7" x14ac:dyDescent="0.2">
      <c r="A131" t="s">
        <v>109</v>
      </c>
      <c r="C131" s="103">
        <f>'Haustechnikvarianten berechnen'!I35/1.1</f>
        <v>1</v>
      </c>
      <c r="E131" s="51" t="s">
        <v>109</v>
      </c>
      <c r="G131" s="4">
        <f>C131</f>
        <v>1</v>
      </c>
    </row>
    <row r="132" spans="1:7" x14ac:dyDescent="0.2">
      <c r="A132" t="s">
        <v>100</v>
      </c>
      <c r="C132">
        <f>C143</f>
        <v>17.5</v>
      </c>
      <c r="E132" s="51" t="s">
        <v>112</v>
      </c>
      <c r="G132" s="103">
        <f>C130</f>
        <v>1000</v>
      </c>
    </row>
    <row r="133" spans="1:7" x14ac:dyDescent="0.2">
      <c r="A133" t="s">
        <v>143</v>
      </c>
      <c r="C133">
        <f>C130*C131*C132</f>
        <v>17500</v>
      </c>
      <c r="E133" s="51" t="s">
        <v>114</v>
      </c>
      <c r="G133" s="103">
        <f>C22</f>
        <v>4600</v>
      </c>
    </row>
    <row r="134" spans="1:7" x14ac:dyDescent="0.2">
      <c r="A134" t="s">
        <v>103</v>
      </c>
      <c r="C134">
        <f>G144</f>
        <v>7000</v>
      </c>
      <c r="E134" s="51" t="s">
        <v>138</v>
      </c>
      <c r="G134" s="103">
        <f>B7</f>
        <v>3000</v>
      </c>
    </row>
    <row r="135" spans="1:7" x14ac:dyDescent="0.2">
      <c r="A135" t="s">
        <v>144</v>
      </c>
      <c r="C135">
        <f>C133-C134</f>
        <v>10500</v>
      </c>
      <c r="E135" s="51" t="s">
        <v>139</v>
      </c>
      <c r="F135" s="103"/>
      <c r="G135" s="103">
        <f>G133-G134</f>
        <v>1600</v>
      </c>
    </row>
    <row r="136" spans="1:7" x14ac:dyDescent="0.2">
      <c r="A136" t="s">
        <v>146</v>
      </c>
      <c r="C136">
        <v>0.15</v>
      </c>
      <c r="E136" s="51" t="s">
        <v>119</v>
      </c>
      <c r="G136" s="103">
        <f>C25</f>
        <v>17520</v>
      </c>
    </row>
    <row r="137" spans="1:7" x14ac:dyDescent="0.2">
      <c r="A137" t="s">
        <v>145</v>
      </c>
      <c r="C137">
        <f>C135*C136</f>
        <v>1575</v>
      </c>
      <c r="E137" s="51" t="s">
        <v>116</v>
      </c>
      <c r="G137">
        <f>'Haustechnikvarianten berechnen'!I39</f>
        <v>35</v>
      </c>
    </row>
    <row r="138" spans="1:7" x14ac:dyDescent="0.2">
      <c r="A138" t="s">
        <v>142</v>
      </c>
      <c r="C138" s="103">
        <f>C134+G134</f>
        <v>10000</v>
      </c>
      <c r="E138" s="51" t="s">
        <v>102</v>
      </c>
      <c r="G138">
        <f>IF(G130&lt;=12,360,10*ROUND((400 -90*G130/27)/10,0))</f>
        <v>340</v>
      </c>
    </row>
    <row r="139" spans="1:7" x14ac:dyDescent="0.2">
      <c r="A139" s="51" t="s">
        <v>147</v>
      </c>
      <c r="C139" s="103">
        <f>C114</f>
        <v>19120</v>
      </c>
      <c r="E139" s="51" t="s">
        <v>133</v>
      </c>
      <c r="G139">
        <f>IF(G133&gt;=3200,IF(G130&lt;20,10*ROUND((G138-30+0.01875*G133)/10,0),G138),G138)</f>
        <v>400</v>
      </c>
    </row>
    <row r="140" spans="1:7" x14ac:dyDescent="0.2">
      <c r="A140" s="51" t="s">
        <v>196</v>
      </c>
      <c r="C140" s="103">
        <f>C139-C134</f>
        <v>12120</v>
      </c>
      <c r="E140" s="51"/>
    </row>
    <row r="141" spans="1:7" x14ac:dyDescent="0.2">
      <c r="A141" s="51" t="s">
        <v>190</v>
      </c>
      <c r="C141" s="103">
        <f>C140*(C144-1)/C144</f>
        <v>9426.6666666666661</v>
      </c>
      <c r="E141" s="51"/>
    </row>
    <row r="142" spans="1:7" x14ac:dyDescent="0.2">
      <c r="A142" s="51" t="s">
        <v>185</v>
      </c>
      <c r="C142" s="103">
        <v>600</v>
      </c>
      <c r="E142" s="51" t="s">
        <v>134</v>
      </c>
      <c r="G142">
        <f>IF(G136&lt;5000,10*ROUND((G138-26.666+2.222*G130)/10,0),G139)</f>
        <v>400</v>
      </c>
    </row>
    <row r="143" spans="1:7" x14ac:dyDescent="0.2">
      <c r="A143" s="51" t="s">
        <v>186</v>
      </c>
      <c r="C143">
        <f>10*ROUND(C139/((C144/(C144-1))*C142+320)/10,2)</f>
        <v>17.5</v>
      </c>
      <c r="E143" s="51" t="s">
        <v>131</v>
      </c>
      <c r="G143">
        <f>10*ROUND((-1.428*G137+G142+50)/10,0)</f>
        <v>400</v>
      </c>
    </row>
    <row r="144" spans="1:7" x14ac:dyDescent="0.2">
      <c r="A144" t="s">
        <v>148</v>
      </c>
      <c r="C144">
        <f>'Haustechnikvarianten berechnen'!I37</f>
        <v>4.5</v>
      </c>
      <c r="E144" s="51" t="s">
        <v>103</v>
      </c>
      <c r="G144">
        <f>10*ROUND(G130*G131*G132/1000*G143/10,0)</f>
        <v>7000</v>
      </c>
    </row>
    <row r="145" spans="1:7" x14ac:dyDescent="0.2">
      <c r="A145" t="s">
        <v>22</v>
      </c>
      <c r="C145">
        <f>C140/C144</f>
        <v>2693.3333333333335</v>
      </c>
      <c r="E145" s="51" t="s">
        <v>141</v>
      </c>
      <c r="G145" s="103">
        <f>G135</f>
        <v>1600</v>
      </c>
    </row>
    <row r="146" spans="1:7" x14ac:dyDescent="0.2">
      <c r="A146" t="s">
        <v>152</v>
      </c>
      <c r="C146" s="103">
        <f>C140-C137</f>
        <v>10545</v>
      </c>
      <c r="E146" s="51" t="s">
        <v>113</v>
      </c>
      <c r="G146">
        <f>IF(G144&gt;0.9*(G145+G136),0.9*(G145+G136),G144)</f>
        <v>7000</v>
      </c>
    </row>
    <row r="147" spans="1:7" x14ac:dyDescent="0.2">
      <c r="A147" t="s">
        <v>22</v>
      </c>
      <c r="C147">
        <f>10*ROUND(C146/C144/10,0)</f>
        <v>2340</v>
      </c>
      <c r="E147" s="51" t="s">
        <v>142</v>
      </c>
      <c r="G147">
        <f>10*ROUND((G133-G145+G146)/10,0)</f>
        <v>10000</v>
      </c>
    </row>
    <row r="148" spans="1:7" x14ac:dyDescent="0.2">
      <c r="A148" t="s">
        <v>149</v>
      </c>
      <c r="C148">
        <f>10*ROUND(C140/C147/10,2)</f>
        <v>5.2</v>
      </c>
    </row>
    <row r="149" spans="1:7" x14ac:dyDescent="0.2">
      <c r="A149" t="s">
        <v>150</v>
      </c>
      <c r="C149">
        <f>C148-C144</f>
        <v>0.70000000000000018</v>
      </c>
    </row>
    <row r="150" spans="1:7" x14ac:dyDescent="0.2">
      <c r="A150" s="51" t="s">
        <v>180</v>
      </c>
      <c r="C150">
        <f>10*ROUND(C139/18000,2)</f>
        <v>10.600000000000001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Haustechnikvarianten gesamt</vt:lpstr>
      <vt:lpstr>Haustechnikvarianten berechnen</vt:lpstr>
      <vt:lpstr>Berechnung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Johannes Spruth</cp:lastModifiedBy>
  <cp:lastPrinted>2023-08-17T21:14:25Z</cp:lastPrinted>
  <dcterms:created xsi:type="dcterms:W3CDTF">2017-07-13T22:33:43Z</dcterms:created>
  <dcterms:modified xsi:type="dcterms:W3CDTF">2024-02-18T15:29:16Z</dcterms:modified>
</cp:coreProperties>
</file>