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64C6CC28-DA2B-4733-BA16-375FF35627A4}" xr6:coauthVersionLast="47" xr6:coauthVersionMax="47" xr10:uidLastSave="{00000000-0000-0000-0000-000000000000}"/>
  <workbookProtection workbookAlgorithmName="SHA-512" workbookHashValue="BswUc7S2IGuZV3/XeJAKize9+GEOeKRJ6fEnfB5+C3818mW4unimtT2aGfHUDiaGTHQI7lla/PMD8FAdaQf/mg==" workbookSaltValue="sDyRP8LcMJyNiFzIzNtYAA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Berechnung" sheetId="5" state="hidden" r:id="rId3"/>
    <sheet name="Tabelle2" sheetId="2" r:id="rId4"/>
    <sheet name="Tabelle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4" l="1"/>
  <c r="D21" i="4"/>
  <c r="D20" i="4"/>
  <c r="D19" i="4"/>
  <c r="D18" i="4"/>
  <c r="D9" i="4"/>
  <c r="D8" i="4"/>
  <c r="C67" i="1"/>
  <c r="D67" i="1"/>
  <c r="E67" i="1"/>
  <c r="F67" i="1"/>
  <c r="G67" i="1"/>
  <c r="H67" i="1"/>
  <c r="I67" i="1"/>
  <c r="J67" i="1"/>
  <c r="B67" i="1"/>
  <c r="C80" i="4"/>
  <c r="D80" i="4"/>
  <c r="B80" i="4"/>
  <c r="J66" i="1"/>
  <c r="I66" i="1"/>
  <c r="J64" i="1"/>
  <c r="I64" i="1"/>
  <c r="H66" i="1"/>
  <c r="H64" i="1"/>
  <c r="G66" i="1"/>
  <c r="F66" i="1"/>
  <c r="G64" i="1"/>
  <c r="F64" i="1"/>
  <c r="E66" i="1"/>
  <c r="E64" i="1"/>
  <c r="D54" i="4"/>
  <c r="C54" i="4"/>
  <c r="D53" i="4"/>
  <c r="C53" i="4"/>
  <c r="F44" i="1"/>
  <c r="J60" i="1"/>
  <c r="I60" i="1"/>
  <c r="I55" i="1"/>
  <c r="I51" i="1"/>
  <c r="J51" i="1" s="1"/>
  <c r="I50" i="1"/>
  <c r="J50" i="1" s="1"/>
  <c r="J47" i="1"/>
  <c r="I47" i="1"/>
  <c r="J43" i="1"/>
  <c r="J48" i="1" s="1"/>
  <c r="J49" i="1" s="1"/>
  <c r="I43" i="1"/>
  <c r="I48" i="1" s="1"/>
  <c r="I49" i="1" s="1"/>
  <c r="G60" i="1"/>
  <c r="F55" i="1"/>
  <c r="F51" i="1"/>
  <c r="G51" i="1" s="1"/>
  <c r="F50" i="1"/>
  <c r="G50" i="1" s="1"/>
  <c r="G47" i="1"/>
  <c r="F47" i="1"/>
  <c r="G43" i="1"/>
  <c r="G48" i="1" s="1"/>
  <c r="G49" i="1" s="1"/>
  <c r="F43" i="1"/>
  <c r="F48" i="1" s="1"/>
  <c r="F49" i="1" s="1"/>
  <c r="C55" i="1"/>
  <c r="C51" i="1"/>
  <c r="C50" i="1"/>
  <c r="D71" i="4"/>
  <c r="K144" i="5"/>
  <c r="K141" i="5"/>
  <c r="C66" i="4"/>
  <c r="C65" i="4"/>
  <c r="C64" i="4"/>
  <c r="C71" i="4"/>
  <c r="G144" i="5"/>
  <c r="D43" i="1"/>
  <c r="G141" i="5"/>
  <c r="C141" i="5"/>
  <c r="B50" i="4"/>
  <c r="B57" i="4"/>
  <c r="B58" i="4"/>
  <c r="B60" i="4"/>
  <c r="B61" i="4"/>
  <c r="B63" i="1"/>
  <c r="C47" i="1"/>
  <c r="C43" i="1"/>
  <c r="C48" i="1" s="1"/>
  <c r="C49" i="1" s="1"/>
  <c r="D50" i="4"/>
  <c r="E55" i="5"/>
  <c r="G72" i="5"/>
  <c r="F72" i="5"/>
  <c r="G70" i="5"/>
  <c r="D72" i="5"/>
  <c r="D70" i="5"/>
  <c r="C72" i="5"/>
  <c r="C55" i="5"/>
  <c r="I63" i="1" l="1"/>
  <c r="J55" i="1"/>
  <c r="F63" i="1"/>
  <c r="F60" i="1"/>
  <c r="G55" i="1"/>
  <c r="C140" i="5"/>
  <c r="C61" i="4"/>
  <c r="D61" i="4" s="1"/>
  <c r="C139" i="5"/>
  <c r="G139" i="5" s="1"/>
  <c r="K139" i="5" s="1"/>
  <c r="C60" i="4"/>
  <c r="D60" i="4" s="1"/>
  <c r="G140" i="5"/>
  <c r="C142" i="5"/>
  <c r="C143" i="5"/>
  <c r="D47" i="1"/>
  <c r="D48" i="1" s="1"/>
  <c r="D49" i="1" s="1"/>
  <c r="C64" i="5"/>
  <c r="D55" i="5"/>
  <c r="D64" i="5" s="1"/>
  <c r="E64" i="5"/>
  <c r="F55" i="5"/>
  <c r="G143" i="5" l="1"/>
  <c r="K140" i="5"/>
  <c r="K143" i="5" s="1"/>
  <c r="D35" i="4" s="1"/>
  <c r="K145" i="5"/>
  <c r="D68" i="4" s="1"/>
  <c r="K142" i="5"/>
  <c r="K146" i="5"/>
  <c r="K147" i="5" s="1"/>
  <c r="D65" i="4" s="1"/>
  <c r="G145" i="5"/>
  <c r="C68" i="4" s="1"/>
  <c r="G146" i="5"/>
  <c r="C35" i="4"/>
  <c r="G142" i="5"/>
  <c r="C34" i="4" s="1"/>
  <c r="D34" i="4"/>
  <c r="F64" i="5"/>
  <c r="G55" i="5"/>
  <c r="G64" i="5" s="1"/>
  <c r="C118" i="5" l="1"/>
  <c r="C97" i="5"/>
  <c r="F118" i="5"/>
  <c r="H118" i="5" s="1"/>
  <c r="E56" i="5" l="1"/>
  <c r="C56" i="5"/>
  <c r="F97" i="5"/>
  <c r="H97" i="5"/>
  <c r="F125" i="5"/>
  <c r="F126" i="5"/>
  <c r="F127" i="5"/>
  <c r="F128" i="5"/>
  <c r="F129" i="5"/>
  <c r="F130" i="5"/>
  <c r="F131" i="5"/>
  <c r="F132" i="5"/>
  <c r="F133" i="5"/>
  <c r="F134" i="5"/>
  <c r="F135" i="5"/>
  <c r="F124" i="5"/>
  <c r="F136" i="5"/>
  <c r="I136" i="5"/>
  <c r="F104" i="5"/>
  <c r="F105" i="5"/>
  <c r="F106" i="5"/>
  <c r="F107" i="5"/>
  <c r="F108" i="5"/>
  <c r="F109" i="5"/>
  <c r="F110" i="5"/>
  <c r="F111" i="5"/>
  <c r="F112" i="5"/>
  <c r="F113" i="5"/>
  <c r="F114" i="5"/>
  <c r="F103" i="5"/>
  <c r="C65" i="5" l="1"/>
  <c r="D56" i="5"/>
  <c r="D65" i="5" s="1"/>
  <c r="E65" i="5"/>
  <c r="F56" i="5"/>
  <c r="F115" i="5"/>
  <c r="F65" i="5" l="1"/>
  <c r="G56" i="5"/>
  <c r="G65" i="5" s="1"/>
  <c r="E75" i="5"/>
  <c r="E66" i="5"/>
  <c r="D75" i="5"/>
  <c r="D66" i="5"/>
  <c r="C66" i="5"/>
  <c r="C75" i="5"/>
  <c r="C78" i="5" l="1"/>
  <c r="C74" i="5"/>
  <c r="D74" i="5"/>
  <c r="D76" i="5" s="1"/>
  <c r="D78" i="5"/>
  <c r="E78" i="5"/>
  <c r="G75" i="5"/>
  <c r="G66" i="5"/>
  <c r="F75" i="5"/>
  <c r="F66" i="5"/>
  <c r="C50" i="4"/>
  <c r="F74" i="5" l="1"/>
  <c r="F78" i="5"/>
  <c r="G74" i="5"/>
  <c r="G76" i="5" s="1"/>
  <c r="G78" i="5"/>
  <c r="D57" i="4"/>
  <c r="D58" i="4" s="1"/>
  <c r="C57" i="4" l="1"/>
  <c r="C58" i="4" s="1"/>
  <c r="H43" i="1"/>
  <c r="H48" i="1"/>
  <c r="H60" i="1"/>
  <c r="E60" i="1"/>
  <c r="B58" i="1"/>
  <c r="B60" i="1" s="1"/>
  <c r="C30" i="5"/>
  <c r="C29" i="5"/>
  <c r="E46" i="5"/>
  <c r="E19" i="5"/>
  <c r="E15" i="5"/>
  <c r="E14" i="5"/>
  <c r="C15" i="5"/>
  <c r="E47" i="5"/>
  <c r="C19" i="5"/>
  <c r="C14" i="5"/>
  <c r="E52" i="5"/>
  <c r="E48" i="5"/>
  <c r="E49" i="5" s="1"/>
  <c r="E50" i="5" s="1"/>
  <c r="E51" i="5" s="1"/>
  <c r="E4" i="5"/>
  <c r="E3" i="5"/>
  <c r="B6" i="5"/>
  <c r="B3" i="5"/>
  <c r="J62" i="1" l="1"/>
  <c r="J61" i="1"/>
  <c r="I62" i="1"/>
  <c r="I61" i="1"/>
  <c r="G61" i="1"/>
  <c r="G62" i="1"/>
  <c r="F61" i="1"/>
  <c r="F62" i="1"/>
  <c r="D50" i="1"/>
  <c r="D51" i="1"/>
  <c r="C20" i="5"/>
  <c r="E20" i="5"/>
  <c r="E6" i="5"/>
  <c r="C17" i="5"/>
  <c r="E7" i="5"/>
  <c r="D55" i="1" l="1"/>
  <c r="C63" i="1"/>
  <c r="C58" i="1"/>
  <c r="C57" i="1"/>
  <c r="C60" i="1"/>
  <c r="C21" i="5"/>
  <c r="E17" i="5"/>
  <c r="E21" i="5"/>
  <c r="D60" i="1" l="1"/>
  <c r="D61" i="1"/>
  <c r="D62" i="1"/>
  <c r="C61" i="1"/>
  <c r="C62" i="1"/>
  <c r="B4" i="5"/>
  <c r="B7" i="5"/>
  <c r="B5" i="5"/>
  <c r="D24" i="4"/>
  <c r="D14" i="4"/>
  <c r="B57" i="1"/>
  <c r="D66" i="1" l="1"/>
  <c r="D64" i="1"/>
  <c r="C18" i="5"/>
  <c r="C64" i="1"/>
  <c r="C66" i="1"/>
  <c r="C32" i="5"/>
  <c r="C33" i="5" s="1"/>
  <c r="E18" i="5"/>
  <c r="E22" i="5" s="1"/>
  <c r="E23" i="5" s="1"/>
  <c r="C22" i="5"/>
  <c r="C23" i="5" s="1"/>
  <c r="E5" i="5"/>
  <c r="E8" i="5" s="1"/>
  <c r="E9" i="5" s="1"/>
  <c r="C16" i="5"/>
  <c r="C31" i="5" s="1"/>
  <c r="C34" i="5" s="1"/>
  <c r="C35" i="5" s="1"/>
  <c r="B8" i="5"/>
  <c r="E16" i="5" l="1"/>
  <c r="E24" i="5" s="1"/>
  <c r="E25" i="5" s="1"/>
  <c r="C24" i="5"/>
  <c r="C25" i="5" s="1"/>
  <c r="B9" i="5"/>
  <c r="D10" i="4" l="1"/>
  <c r="D7" i="4"/>
  <c r="D12" i="4"/>
  <c r="D11" i="4"/>
  <c r="D6" i="4"/>
  <c r="G17" i="4"/>
  <c r="G16" i="4"/>
  <c r="D17" i="4"/>
  <c r="D16" i="4"/>
  <c r="I100" i="5" l="1"/>
  <c r="K100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G104" i="5"/>
  <c r="H104" i="5" s="1"/>
  <c r="G105" i="5"/>
  <c r="H105" i="5" s="1"/>
  <c r="G106" i="5"/>
  <c r="H106" i="5" s="1"/>
  <c r="G107" i="5"/>
  <c r="H107" i="5" s="1"/>
  <c r="G108" i="5"/>
  <c r="H108" i="5" s="1"/>
  <c r="G109" i="5"/>
  <c r="H109" i="5" s="1"/>
  <c r="G110" i="5"/>
  <c r="H110" i="5" s="1"/>
  <c r="G111" i="5"/>
  <c r="H111" i="5" s="1"/>
  <c r="G112" i="5"/>
  <c r="H112" i="5" s="1"/>
  <c r="G113" i="5"/>
  <c r="H113" i="5" s="1"/>
  <c r="G114" i="5"/>
  <c r="H114" i="5" s="1"/>
  <c r="G103" i="5"/>
  <c r="C58" i="5"/>
  <c r="C70" i="5" s="1"/>
  <c r="I121" i="5"/>
  <c r="K121" i="5" s="1"/>
  <c r="N121" i="5"/>
  <c r="J125" i="5" l="1"/>
  <c r="J126" i="5"/>
  <c r="J127" i="5"/>
  <c r="J128" i="5"/>
  <c r="J129" i="5"/>
  <c r="J130" i="5"/>
  <c r="J131" i="5"/>
  <c r="J132" i="5"/>
  <c r="J133" i="5"/>
  <c r="J134" i="5"/>
  <c r="J135" i="5"/>
  <c r="J124" i="5"/>
  <c r="J136" i="5" s="1"/>
  <c r="G115" i="5"/>
  <c r="H103" i="5"/>
  <c r="H115" i="5" s="1"/>
  <c r="G136" i="5"/>
  <c r="H124" i="5"/>
  <c r="K125" i="5"/>
  <c r="L125" i="5" s="1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B67" i="4"/>
  <c r="C67" i="4" s="1"/>
  <c r="D67" i="4" s="1"/>
  <c r="B76" i="4" l="1"/>
  <c r="C57" i="5"/>
  <c r="E58" i="5"/>
  <c r="E59" i="5"/>
  <c r="E72" i="5" s="1"/>
  <c r="E74" i="5" s="1"/>
  <c r="K124" i="5"/>
  <c r="L124" i="5" s="1"/>
  <c r="L136" i="5" s="1"/>
  <c r="H136" i="5"/>
  <c r="K136" i="5" s="1"/>
  <c r="B70" i="4"/>
  <c r="B73" i="4" s="1"/>
  <c r="B69" i="4"/>
  <c r="C63" i="4" l="1"/>
  <c r="C62" i="4"/>
  <c r="D62" i="4"/>
  <c r="D63" i="4"/>
  <c r="D64" i="4"/>
  <c r="D66" i="4"/>
  <c r="F58" i="5"/>
  <c r="F70" i="5" s="1"/>
  <c r="F76" i="5" s="1"/>
  <c r="E70" i="5"/>
  <c r="E76" i="5" s="1"/>
  <c r="C76" i="4" l="1"/>
  <c r="C70" i="4"/>
  <c r="C73" i="4" s="1"/>
  <c r="C69" i="4"/>
  <c r="D13" i="4"/>
  <c r="C79" i="4" l="1"/>
  <c r="C77" i="4"/>
  <c r="D76" i="4"/>
  <c r="D70" i="4"/>
  <c r="D73" i="4" s="1"/>
  <c r="D69" i="4"/>
  <c r="D15" i="4"/>
  <c r="D79" i="4" l="1"/>
  <c r="D77" i="4"/>
  <c r="D23" i="4"/>
  <c r="B43" i="1" l="1"/>
  <c r="D59" i="4" l="1"/>
  <c r="C59" i="4"/>
  <c r="B48" i="1"/>
  <c r="H49" i="1"/>
  <c r="E49" i="1"/>
  <c r="D74" i="4" l="1"/>
  <c r="D75" i="4"/>
  <c r="C76" i="5" l="1"/>
  <c r="C68" i="5"/>
  <c r="D57" i="5"/>
  <c r="E57" i="5" s="1"/>
  <c r="D68" i="5"/>
  <c r="D77" i="5"/>
  <c r="D79" i="5"/>
  <c r="F57" i="5" l="1"/>
  <c r="E68" i="5"/>
  <c r="E77" i="5" s="1"/>
  <c r="E79" i="5" s="1"/>
  <c r="D83" i="5"/>
  <c r="D80" i="5"/>
  <c r="D81" i="5" s="1"/>
  <c r="C83" i="5"/>
  <c r="C80" i="5"/>
  <c r="C81" i="5" s="1"/>
  <c r="C77" i="5"/>
  <c r="C79" i="5" s="1"/>
  <c r="E83" i="5"/>
  <c r="E80" i="5"/>
  <c r="E81" i="5" s="1"/>
  <c r="F68" i="5"/>
  <c r="G57" i="5"/>
  <c r="G68" i="5" s="1"/>
  <c r="G77" i="5" l="1"/>
  <c r="G79" i="5" s="1"/>
  <c r="G83" i="5"/>
  <c r="G80" i="5"/>
  <c r="G81" i="5" s="1"/>
  <c r="F77" i="5"/>
  <c r="F79" i="5" s="1"/>
  <c r="F83" i="5"/>
  <c r="F80" i="5"/>
  <c r="F81" i="5" s="1"/>
  <c r="E82" i="5"/>
  <c r="E84" i="5"/>
  <c r="C84" i="5"/>
  <c r="C82" i="5"/>
  <c r="D82" i="5"/>
  <c r="D84" i="5"/>
  <c r="D87" i="5" l="1"/>
  <c r="D88" i="5" s="1"/>
  <c r="D89" i="5"/>
  <c r="C93" i="5" s="1"/>
  <c r="C87" i="5"/>
  <c r="C88" i="5" s="1"/>
  <c r="C89" i="5"/>
  <c r="E87" i="5"/>
  <c r="E88" i="5" s="1"/>
  <c r="E89" i="5"/>
  <c r="F82" i="5"/>
  <c r="F84" i="5"/>
  <c r="G82" i="5"/>
  <c r="G84" i="5"/>
  <c r="G87" i="5" l="1"/>
  <c r="G88" i="5" s="1"/>
  <c r="G89" i="5"/>
  <c r="E93" i="5" s="1"/>
  <c r="F87" i="5"/>
  <c r="F88" i="5" s="1"/>
  <c r="F89" i="5" s="1"/>
  <c r="E91" i="5" s="1"/>
  <c r="E92" i="5"/>
  <c r="E94" i="5"/>
  <c r="C91" i="5"/>
  <c r="C94" i="5"/>
  <c r="C75" i="4" l="1"/>
  <c r="C74" i="4"/>
</calcChain>
</file>

<file path=xl/sharedStrings.xml><?xml version="1.0" encoding="utf-8"?>
<sst xmlns="http://schemas.openxmlformats.org/spreadsheetml/2006/main" count="444" uniqueCount="241">
  <si>
    <t>Bezeichnung</t>
  </si>
  <si>
    <t>Investition</t>
  </si>
  <si>
    <t>Kosteneinsparung nach 20 Jahren</t>
  </si>
  <si>
    <t>Autarkie Wärme</t>
  </si>
  <si>
    <t>Autarkie Strom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</si>
  <si>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</si>
  <si>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</si>
  <si>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</si>
  <si>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</si>
  <si>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</si>
  <si>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</si>
  <si>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</si>
  <si>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</si>
  <si>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</si>
  <si>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</si>
  <si>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</si>
  <si>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</si>
  <si>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</si>
  <si>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</si>
  <si>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</si>
  <si>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</si>
  <si>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</si>
  <si>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</si>
  <si>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</si>
  <si>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</si>
  <si>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</si>
  <si>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</si>
  <si>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</si>
  <si>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</si>
  <si>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</si>
  <si>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</si>
  <si>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</si>
  <si>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</si>
  <si>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</si>
  <si>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</si>
  <si>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</si>
  <si>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</si>
  <si>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Wasserspeicher</t>
  </si>
  <si>
    <t>Instandhaltungsanteil</t>
  </si>
  <si>
    <t>Ölpreis</t>
  </si>
  <si>
    <t>Öl</t>
  </si>
  <si>
    <t>Energiekosten pro Jahr</t>
  </si>
  <si>
    <t>Wartungskosten etc. pro Jahr</t>
  </si>
  <si>
    <t>Betriebskosten pro Jahr</t>
  </si>
  <si>
    <t>Strom pro Jahr</t>
  </si>
  <si>
    <t>Investition im Vergleich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</si>
  <si>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</si>
  <si>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</si>
  <si>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</si>
  <si>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</si>
  <si>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</si>
  <si>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</si>
  <si>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</si>
  <si>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</si>
  <si>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</si>
  <si>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</si>
  <si>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</si>
  <si>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</si>
  <si>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</si>
  <si>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</si>
  <si>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</si>
  <si>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</si>
  <si>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</si>
  <si>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</si>
  <si>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</si>
  <si>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</si>
  <si>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Heizwärme pro Jahr</t>
  </si>
  <si>
    <t>Warmwasserbereitung pro Jahr</t>
  </si>
  <si>
    <t>kWh</t>
  </si>
  <si>
    <t>Autarkie Gesamt</t>
  </si>
  <si>
    <t>Autarkie Gesamt: mindestens 50 Prozent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</si>
  <si>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</si>
  <si>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</si>
  <si>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</si>
  <si>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</si>
  <si>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</si>
  <si>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</si>
  <si>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</si>
  <si>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</si>
  <si>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</si>
  <si>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</si>
  <si>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</si>
  <si>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</si>
  <si>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</si>
  <si>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4000 kWh/a</t>
  </si>
  <si>
    <t>Wirkungsgrad Heizung (Brennwert)</t>
  </si>
  <si>
    <t>€/Liter</t>
  </si>
  <si>
    <t>Neubauvorhaben</t>
  </si>
  <si>
    <t>a</t>
  </si>
  <si>
    <t>n oder a eingeben</t>
  </si>
  <si>
    <t>Vorlauftemperatur</t>
  </si>
  <si>
    <t>Röhrenkollektor</t>
  </si>
  <si>
    <t>Luftkollektor</t>
  </si>
  <si>
    <t>Fläche</t>
  </si>
  <si>
    <t>Brauchwasser Anlage Flachkollektor</t>
  </si>
  <si>
    <t>Ertrag</t>
  </si>
  <si>
    <t>Solarertrag</t>
  </si>
  <si>
    <t>Öl pro Jahr</t>
  </si>
  <si>
    <t>Scheitholz pro Jahr</t>
  </si>
  <si>
    <t>Pellet pro Jahr</t>
  </si>
  <si>
    <t>Heizstrom pro Jahr</t>
  </si>
  <si>
    <t>Faktor</t>
  </si>
  <si>
    <t>Globalstrahlung</t>
  </si>
  <si>
    <t>kWh/m²a</t>
  </si>
  <si>
    <t>Globalstarhlung</t>
  </si>
  <si>
    <t>korr Solarertrag</t>
  </si>
  <si>
    <t>WW</t>
  </si>
  <si>
    <t>Heizungsunterstützung Flachkollektor</t>
  </si>
  <si>
    <t>Vorlauftemp</t>
  </si>
  <si>
    <t>Eingangsdaten:</t>
  </si>
  <si>
    <t xml:space="preserve"> WW</t>
  </si>
  <si>
    <t>Heizwärme</t>
  </si>
  <si>
    <t>VL</t>
  </si>
  <si>
    <t>Kolektorart</t>
  </si>
  <si>
    <t>Flach</t>
  </si>
  <si>
    <t>Röhre</t>
  </si>
  <si>
    <t>Luft</t>
  </si>
  <si>
    <t>Ausgabe</t>
  </si>
  <si>
    <t>Ertrag/m2</t>
  </si>
  <si>
    <t>Wenn Luft</t>
  </si>
  <si>
    <t>Wenn Flach</t>
  </si>
  <si>
    <t>wenn 4 p</t>
  </si>
  <si>
    <t>wenn wenig Heizung</t>
  </si>
  <si>
    <t>NT-Hzg</t>
  </si>
  <si>
    <t>nur WW</t>
  </si>
  <si>
    <t>Korr WW</t>
  </si>
  <si>
    <t>Korr Hzg</t>
  </si>
  <si>
    <t>Autarkie gesamt</t>
  </si>
  <si>
    <t>E7 PV</t>
  </si>
  <si>
    <t>E10 spez Ertrag</t>
  </si>
  <si>
    <t>E11 Stromerz</t>
  </si>
  <si>
    <t>E13 Speicher</t>
  </si>
  <si>
    <t>U 24 Haushalt</t>
  </si>
  <si>
    <t>U 18 DLE</t>
  </si>
  <si>
    <t>U19 WW sonst</t>
  </si>
  <si>
    <t>U20 WP</t>
  </si>
  <si>
    <t>U21 Ehzg</t>
  </si>
  <si>
    <t>E112 nutzb Heizen</t>
  </si>
  <si>
    <t>E113 PV korr</t>
  </si>
  <si>
    <t>E114 V mit min</t>
  </si>
  <si>
    <t>E115 V ohne min</t>
  </si>
  <si>
    <t>E116 Faktor</t>
  </si>
  <si>
    <t>E117  Vdirekt</t>
  </si>
  <si>
    <t>E118 V über Batt</t>
  </si>
  <si>
    <t>E119 Batterieeffekt</t>
  </si>
  <si>
    <t>E120 Eigenverbrgrad</t>
  </si>
  <si>
    <t>E121 E zu V</t>
  </si>
  <si>
    <t>E122 Eigenverbr ohne Batt</t>
  </si>
  <si>
    <t>E124 Speicherv</t>
  </si>
  <si>
    <t>E125 Mehrnutzen Batt</t>
  </si>
  <si>
    <t>E126 Speicherv</t>
  </si>
  <si>
    <t>E127 Eigenverbr</t>
  </si>
  <si>
    <t>Variante 7 a</t>
  </si>
  <si>
    <t>Variante 7 c</t>
  </si>
  <si>
    <t>Wärmepumpe</t>
  </si>
  <si>
    <t>ct/kWh</t>
  </si>
  <si>
    <t>Wärmepumpenstrompreis</t>
  </si>
  <si>
    <t>Dortmund, Globalstr 1000 kWh/m²</t>
  </si>
  <si>
    <t>5 kWp</t>
  </si>
  <si>
    <t>kWh/d</t>
  </si>
  <si>
    <t>Warmwasser</t>
  </si>
  <si>
    <t>kWh/Mon</t>
  </si>
  <si>
    <t>Monat</t>
  </si>
  <si>
    <t>Tage</t>
  </si>
  <si>
    <t>Em(5kWp)</t>
  </si>
  <si>
    <t>Pmax (kW)</t>
  </si>
  <si>
    <t>Tageslänge</t>
  </si>
  <si>
    <t>Deckung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</si>
  <si>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</si>
  <si>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</si>
  <si>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</si>
  <si>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</si>
  <si>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</si>
  <si>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</si>
  <si>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</si>
  <si>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</si>
  <si>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</si>
  <si>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</si>
  <si>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</si>
  <si>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</si>
  <si>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</si>
  <si>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>p</t>
  </si>
  <si>
    <t>Em</t>
  </si>
  <si>
    <t>Warmw</t>
  </si>
  <si>
    <t>Wärme</t>
  </si>
  <si>
    <t>GTZ</t>
  </si>
  <si>
    <t>Heizw</t>
  </si>
  <si>
    <t>PV</t>
  </si>
  <si>
    <t>spez Ertrag</t>
  </si>
  <si>
    <t>Haushalt</t>
  </si>
  <si>
    <t>ww</t>
  </si>
  <si>
    <t>HZg</t>
  </si>
  <si>
    <t>Strom für ww</t>
  </si>
  <si>
    <t>Strom für Haush</t>
  </si>
  <si>
    <t>Strom für Hzg</t>
  </si>
  <si>
    <t>Stromeinspeisung</t>
  </si>
  <si>
    <t>Jahresarbeitszahl (JAZ)</t>
  </si>
  <si>
    <t>Wärmepumpenstrom pro Jahr</t>
  </si>
  <si>
    <t>Leistung Wärmepumpe</t>
  </si>
  <si>
    <t>Jahresarbeitszahl</t>
  </si>
  <si>
    <t>JAZ</t>
  </si>
  <si>
    <t>Leistung WP</t>
  </si>
  <si>
    <t>Sondenlänge</t>
  </si>
  <si>
    <t>Erdsonde</t>
  </si>
  <si>
    <t>WW Nutz</t>
  </si>
  <si>
    <t>Tabelle11:</t>
  </si>
  <si>
    <t>zu Kapitel 3, Hybrid-Wärmepumpen</t>
  </si>
  <si>
    <t>Tabelle 11:</t>
  </si>
  <si>
    <t>Variante 12 a</t>
  </si>
  <si>
    <t>Hybrid-Anlage</t>
  </si>
  <si>
    <t>aus vohandenem</t>
  </si>
  <si>
    <t>Kessel und Luft-</t>
  </si>
  <si>
    <t>Variante 12 b</t>
  </si>
  <si>
    <t>Pellet- Hybrid</t>
  </si>
  <si>
    <t>Heizlast Gebäude</t>
  </si>
  <si>
    <t>Gebäude-Heizlast</t>
  </si>
  <si>
    <t>Anteil Wärmepumpe</t>
  </si>
  <si>
    <t>Anteil WP</t>
  </si>
  <si>
    <t>WP-Strom</t>
  </si>
  <si>
    <t>WP-Wärme</t>
  </si>
  <si>
    <t>Zusatzbetriebskosten pro Jahr</t>
  </si>
  <si>
    <t>€/t</t>
  </si>
  <si>
    <t>Pellets pro Jahr</t>
  </si>
  <si>
    <t>Haushalt A</t>
  </si>
  <si>
    <t>Haushalt B</t>
  </si>
  <si>
    <t>Haushalt C</t>
  </si>
  <si>
    <t>Die Förderung bezieht sich auf die neue Bundesförderung für effiziente Gebäude (BEG) ab 01.01.2024</t>
  </si>
  <si>
    <t>maximale förderfähige Kosten</t>
  </si>
  <si>
    <t>Fördersatz</t>
  </si>
  <si>
    <t>Energiepreise Stand 2023 teilweise orientiert an den Preisdeckeln, ohne Preissteigerung</t>
  </si>
  <si>
    <t>Tragen Sie hier Ihre individuellen Werte ein  - Stand 02.01.2024</t>
  </si>
  <si>
    <t>Vollständige Tabelle mit allen Varianten  - Stand 02.01.2024</t>
  </si>
  <si>
    <t>Wohnfläche</t>
  </si>
  <si>
    <t>m²</t>
  </si>
  <si>
    <t>Energiekennwert</t>
  </si>
  <si>
    <t>Bewertung des Energiekennwerts:</t>
  </si>
  <si>
    <t>gut</t>
  </si>
  <si>
    <t>mittel</t>
  </si>
  <si>
    <t>schlecht</t>
  </si>
  <si>
    <t>bis mittel</t>
  </si>
  <si>
    <t>bis 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</si>
</sst>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\ &quot;ct/kWh&quot;"/>
    <numFmt numFmtId="174" formatCode="#,##0\ &quot;Liter/a&quot;"/>
    <numFmt numFmtId="175" formatCode="#,##0\ &quot;oC&quot;"/>
    <numFmt numFmtId="176" formatCode="#,##0\ &quot;kWh/m²a&quot;"/>
    <numFmt numFmtId="177" formatCode="0.0%"/>
    <numFmt numFmtId="178" formatCode="#,##0\ &quot;l/a&quot;"/>
    <numFmt numFmtId="179" formatCode="0\ &quot;oC&quot;"/>
    <numFmt numFmtId="180" formatCode="0\ &quot;kWp&quot;"/>
    <numFmt numFmtId="181" formatCode="#,##0.00\ _€"/>
    <numFmt numFmtId="182" formatCode="0.0\ &quot;kW&quot;"/>
    <numFmt numFmtId="183" formatCode="0\ &quot;m²&quot;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0" borderId="0" xfId="0" applyFill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0" borderId="16" xfId="0" applyNumberFormat="1" applyFill="1" applyBorder="1"/>
    <xf numFmtId="164" fontId="0" fillId="10" borderId="17" xfId="0" applyNumberFormat="1" applyFill="1" applyBorder="1"/>
    <xf numFmtId="164" fontId="1" fillId="10" borderId="16" xfId="0" applyNumberFormat="1" applyFont="1" applyFill="1" applyBorder="1"/>
    <xf numFmtId="164" fontId="1" fillId="10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0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4" borderId="18" xfId="0" applyNumberFormat="1" applyFill="1" applyBorder="1"/>
    <xf numFmtId="166" fontId="0" fillId="5" borderId="19" xfId="0" applyNumberFormat="1" applyFill="1" applyBorder="1"/>
    <xf numFmtId="6" fontId="0" fillId="0" borderId="19" xfId="0" applyNumberFormat="1" applyBorder="1"/>
    <xf numFmtId="164" fontId="0" fillId="6" borderId="21" xfId="0" applyNumberFormat="1" applyFill="1" applyBorder="1"/>
    <xf numFmtId="9" fontId="0" fillId="7" borderId="0" xfId="0" applyNumberFormat="1" applyFill="1"/>
    <xf numFmtId="6" fontId="0" fillId="8" borderId="21" xfId="0" applyNumberFormat="1" applyFill="1" applyBorder="1"/>
    <xf numFmtId="9" fontId="0" fillId="9" borderId="0" xfId="0" applyNumberFormat="1" applyFill="1"/>
    <xf numFmtId="167" fontId="4" fillId="3" borderId="23" xfId="0" applyNumberFormat="1" applyFont="1" applyFill="1" applyBorder="1"/>
    <xf numFmtId="0" fontId="6" fillId="11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0" borderId="2" xfId="0" applyFont="1" applyFill="1" applyBorder="1"/>
    <xf numFmtId="0" fontId="0" fillId="10" borderId="2" xfId="0" applyFill="1" applyBorder="1"/>
    <xf numFmtId="4" fontId="0" fillId="2" borderId="2" xfId="0" applyNumberFormat="1" applyFill="1" applyBorder="1" applyProtection="1">
      <protection locked="0"/>
    </xf>
    <xf numFmtId="0" fontId="8" fillId="10" borderId="12" xfId="0" applyFont="1" applyFill="1" applyBorder="1"/>
    <xf numFmtId="0" fontId="1" fillId="10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0" borderId="10" xfId="0" applyFont="1" applyFill="1" applyBorder="1"/>
    <xf numFmtId="0" fontId="8" fillId="10" borderId="10" xfId="0" applyFont="1" applyFill="1" applyBorder="1"/>
    <xf numFmtId="3" fontId="8" fillId="10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164" fontId="0" fillId="10" borderId="2" xfId="0" applyNumberFormat="1" applyFill="1" applyBorder="1"/>
    <xf numFmtId="0" fontId="1" fillId="10" borderId="27" xfId="0" applyFont="1" applyFill="1" applyBorder="1"/>
    <xf numFmtId="164" fontId="0" fillId="10" borderId="27" xfId="0" applyNumberFormat="1" applyFill="1" applyBorder="1"/>
    <xf numFmtId="3" fontId="0" fillId="10" borderId="11" xfId="0" applyNumberFormat="1" applyFill="1" applyBorder="1"/>
    <xf numFmtId="171" fontId="8" fillId="10" borderId="10" xfId="0" applyNumberFormat="1" applyFont="1" applyFill="1" applyBorder="1"/>
    <xf numFmtId="164" fontId="0" fillId="0" borderId="14" xfId="0" applyNumberFormat="1" applyBorder="1"/>
    <xf numFmtId="172" fontId="0" fillId="10" borderId="11" xfId="0" applyNumberFormat="1" applyFill="1" applyBorder="1"/>
    <xf numFmtId="0" fontId="3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8" fillId="10" borderId="0" xfId="0" applyFont="1" applyFill="1"/>
    <xf numFmtId="0" fontId="8" fillId="10" borderId="7" xfId="0" applyFont="1" applyFill="1" applyBorder="1"/>
    <xf numFmtId="172" fontId="8" fillId="10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165" fontId="0" fillId="0" borderId="26" xfId="0" applyNumberFormat="1" applyBorder="1"/>
    <xf numFmtId="2" fontId="0" fillId="0" borderId="0" xfId="0" applyNumberFormat="1"/>
    <xf numFmtId="0" fontId="8" fillId="10" borderId="11" xfId="0" applyFont="1" applyFill="1" applyBorder="1"/>
    <xf numFmtId="0" fontId="3" fillId="10" borderId="11" xfId="0" applyFont="1" applyFill="1" applyBorder="1"/>
    <xf numFmtId="173" fontId="12" fillId="10" borderId="11" xfId="0" applyNumberFormat="1" applyFont="1" applyFill="1" applyBorder="1" applyAlignment="1">
      <alignment horizontal="left"/>
    </xf>
    <xf numFmtId="0" fontId="0" fillId="10" borderId="28" xfId="0" applyFill="1" applyBorder="1"/>
    <xf numFmtId="3" fontId="0" fillId="2" borderId="18" xfId="0" applyNumberFormat="1" applyFill="1" applyBorder="1"/>
    <xf numFmtId="0" fontId="1" fillId="10" borderId="28" xfId="0" applyFont="1" applyFill="1" applyBorder="1"/>
    <xf numFmtId="3" fontId="8" fillId="10" borderId="10" xfId="0" applyNumberFormat="1" applyFont="1" applyFill="1" applyBorder="1" applyAlignment="1">
      <alignment horizontal="center"/>
    </xf>
    <xf numFmtId="175" fontId="3" fillId="2" borderId="2" xfId="0" applyNumberFormat="1" applyFont="1" applyFill="1" applyBorder="1" applyAlignment="1" applyProtection="1">
      <alignment horizontal="right"/>
      <protection locked="0"/>
    </xf>
    <xf numFmtId="176" fontId="3" fillId="10" borderId="2" xfId="0" applyNumberFormat="1" applyFont="1" applyFill="1" applyBorder="1"/>
    <xf numFmtId="0" fontId="0" fillId="12" borderId="0" xfId="0" applyFill="1"/>
    <xf numFmtId="177" fontId="0" fillId="0" borderId="13" xfId="0" applyNumberFormat="1" applyBorder="1"/>
    <xf numFmtId="178" fontId="0" fillId="0" borderId="26" xfId="0" applyNumberFormat="1" applyBorder="1"/>
    <xf numFmtId="174" fontId="3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179" fontId="3" fillId="10" borderId="2" xfId="0" applyNumberFormat="1" applyFont="1" applyFill="1" applyBorder="1" applyAlignment="1">
      <alignment horizontal="center"/>
    </xf>
    <xf numFmtId="171" fontId="0" fillId="10" borderId="2" xfId="0" applyNumberFormat="1" applyFill="1" applyBorder="1"/>
    <xf numFmtId="0" fontId="12" fillId="0" borderId="0" xfId="0" applyFont="1"/>
    <xf numFmtId="180" fontId="12" fillId="0" borderId="0" xfId="0" applyNumberFormat="1" applyFont="1"/>
    <xf numFmtId="165" fontId="0" fillId="0" borderId="14" xfId="0" applyNumberFormat="1" applyBorder="1"/>
    <xf numFmtId="0" fontId="0" fillId="8" borderId="0" xfId="0" applyFill="1"/>
    <xf numFmtId="0" fontId="0" fillId="0" borderId="29" xfId="0" applyBorder="1"/>
    <xf numFmtId="1" fontId="0" fillId="0" borderId="29" xfId="0" applyNumberFormat="1" applyBorder="1"/>
    <xf numFmtId="2" fontId="0" fillId="0" borderId="29" xfId="0" applyNumberFormat="1" applyBorder="1"/>
    <xf numFmtId="0" fontId="0" fillId="13" borderId="29" xfId="0" applyFill="1" applyBorder="1"/>
    <xf numFmtId="1" fontId="0" fillId="13" borderId="29" xfId="0" applyNumberFormat="1" applyFill="1" applyBorder="1"/>
    <xf numFmtId="1" fontId="0" fillId="0" borderId="0" xfId="0" applyNumberFormat="1"/>
    <xf numFmtId="0" fontId="3" fillId="0" borderId="29" xfId="0" applyFont="1" applyBorder="1"/>
    <xf numFmtId="11" fontId="0" fillId="0" borderId="0" xfId="0" applyNumberFormat="1"/>
    <xf numFmtId="181" fontId="12" fillId="0" borderId="0" xfId="0" applyNumberFormat="1" applyFont="1"/>
    <xf numFmtId="4" fontId="3" fillId="2" borderId="26" xfId="0" applyNumberFormat="1" applyFont="1" applyFill="1" applyBorder="1" applyAlignment="1" applyProtection="1">
      <alignment horizontal="right"/>
      <protection locked="0"/>
    </xf>
    <xf numFmtId="0" fontId="1" fillId="10" borderId="4" xfId="0" applyFont="1" applyFill="1" applyBorder="1"/>
    <xf numFmtId="171" fontId="0" fillId="10" borderId="4" xfId="0" applyNumberFormat="1" applyFill="1" applyBorder="1"/>
    <xf numFmtId="0" fontId="3" fillId="10" borderId="5" xfId="0" applyFont="1" applyFill="1" applyBorder="1"/>
    <xf numFmtId="2" fontId="3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164" fontId="3" fillId="10" borderId="17" xfId="0" applyNumberFormat="1" applyFont="1" applyFill="1" applyBorder="1"/>
    <xf numFmtId="182" fontId="1" fillId="0" borderId="2" xfId="0" applyNumberFormat="1" applyFont="1" applyBorder="1"/>
    <xf numFmtId="4" fontId="0" fillId="0" borderId="0" xfId="0" applyNumberFormat="1"/>
    <xf numFmtId="182" fontId="3" fillId="0" borderId="2" xfId="0" applyNumberFormat="1" applyFont="1" applyBorder="1"/>
    <xf numFmtId="182" fontId="3" fillId="10" borderId="2" xfId="0" applyNumberFormat="1" applyFont="1" applyFill="1" applyBorder="1" applyAlignment="1">
      <alignment horizontal="center"/>
    </xf>
    <xf numFmtId="182" fontId="1" fillId="1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79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9" fontId="3" fillId="2" borderId="26" xfId="0" applyNumberFormat="1" applyFont="1" applyFill="1" applyBorder="1" applyAlignment="1" applyProtection="1">
      <alignment horizontal="right"/>
      <protection locked="0"/>
    </xf>
    <xf numFmtId="0" fontId="3" fillId="10" borderId="10" xfId="0" applyFont="1" applyFill="1" applyBorder="1"/>
    <xf numFmtId="9" fontId="3" fillId="10" borderId="2" xfId="0" applyNumberFormat="1" applyFont="1" applyFill="1" applyBorder="1" applyAlignment="1">
      <alignment horizontal="center"/>
    </xf>
    <xf numFmtId="9" fontId="1" fillId="10" borderId="2" xfId="0" applyNumberFormat="1" applyFont="1" applyFill="1" applyBorder="1" applyAlignment="1">
      <alignment horizontal="center"/>
    </xf>
    <xf numFmtId="9" fontId="1" fillId="0" borderId="0" xfId="0" applyNumberFormat="1" applyFont="1"/>
    <xf numFmtId="166" fontId="0" fillId="0" borderId="2" xfId="0" applyNumberFormat="1" applyBorder="1"/>
    <xf numFmtId="0" fontId="1" fillId="10" borderId="3" xfId="0" applyFont="1" applyFill="1" applyBorder="1"/>
    <xf numFmtId="3" fontId="0" fillId="10" borderId="4" xfId="0" applyNumberFormat="1" applyFill="1" applyBorder="1"/>
    <xf numFmtId="172" fontId="0" fillId="10" borderId="0" xfId="0" applyNumberFormat="1" applyFill="1"/>
    <xf numFmtId="171" fontId="0" fillId="10" borderId="8" xfId="0" applyNumberFormat="1" applyFill="1" applyBorder="1"/>
    <xf numFmtId="172" fontId="0" fillId="10" borderId="8" xfId="0" applyNumberForma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0" borderId="30" xfId="0" applyFont="1" applyBorder="1"/>
    <xf numFmtId="0" fontId="0" fillId="15" borderId="0" xfId="0" applyFill="1"/>
    <xf numFmtId="0" fontId="0" fillId="3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center"/>
    </xf>
    <xf numFmtId="183" fontId="3" fillId="10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52">
    <dxf>
      <font>
        <color rgb="FFFF0000"/>
      </font>
    </dxf>
    <dxf>
      <font>
        <color rgb="FFFFC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rgb="FFFFC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1F0FF"/>
      <color rgb="FFE1FFF5"/>
      <color rgb="FFFFFFAF"/>
      <color rgb="FFFFFF66"/>
      <color rgb="FF69D8FF"/>
      <color rgb="FFC2E49C"/>
      <color rgb="FFB2DE82"/>
      <color rgb="FFA162D0"/>
      <color rgb="FFFF3F9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W81"/>
  <sheetViews>
    <sheetView showGridLines="0" tabSelected="1" zoomScale="91" zoomScaleNormal="91" zoomScaleSheetLayoutView="11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0" s="2" customFormat="1" ht="23.25" x14ac:dyDescent="0.35">
      <c r="A1" s="7" t="s">
        <v>205</v>
      </c>
      <c r="B1" s="2" t="s">
        <v>206</v>
      </c>
    </row>
    <row r="2" spans="1:20" s="2" customFormat="1" ht="23.25" x14ac:dyDescent="0.35">
      <c r="A2" s="7"/>
      <c r="B2" s="8" t="s">
        <v>231</v>
      </c>
    </row>
    <row r="3" spans="1:20" s="2" customFormat="1" ht="23.25" x14ac:dyDescent="0.35">
      <c r="A3" s="7"/>
      <c r="B3" s="51" t="s">
        <v>226</v>
      </c>
      <c r="C3"/>
      <c r="D3"/>
      <c r="E3"/>
      <c r="F3"/>
    </row>
    <row r="4" spans="1:20" ht="24.95" customHeight="1" x14ac:dyDescent="0.2">
      <c r="B4" s="94" t="s">
        <v>229</v>
      </c>
      <c r="C4" s="95"/>
      <c r="D4" s="95"/>
      <c r="E4" s="95"/>
      <c r="F4" s="95"/>
    </row>
    <row r="5" spans="1:20" x14ac:dyDescent="0.2">
      <c r="A5" s="156"/>
      <c r="B5" s="157"/>
      <c r="C5" s="12"/>
      <c r="D5" s="11"/>
      <c r="E5" s="11"/>
      <c r="F5" s="11"/>
      <c r="G5" s="11"/>
      <c r="H5" s="156" t="s">
        <v>29</v>
      </c>
      <c r="I5" s="11"/>
      <c r="J5" s="12"/>
    </row>
    <row r="6" spans="1:20" x14ac:dyDescent="0.2">
      <c r="A6" s="72" t="s">
        <v>39</v>
      </c>
      <c r="B6" s="120">
        <v>1.4</v>
      </c>
      <c r="C6" s="69" t="s">
        <v>86</v>
      </c>
      <c r="D6" s="9"/>
      <c r="E6" s="9"/>
      <c r="F6" s="9"/>
      <c r="G6" s="9"/>
      <c r="H6" s="20" t="s">
        <v>40</v>
      </c>
      <c r="I6" s="93">
        <v>0.31</v>
      </c>
      <c r="J6" s="19" t="s">
        <v>33</v>
      </c>
    </row>
    <row r="7" spans="1:20" x14ac:dyDescent="0.2">
      <c r="A7" s="72" t="s">
        <v>19</v>
      </c>
      <c r="B7" s="120">
        <v>12</v>
      </c>
      <c r="C7" s="69" t="s">
        <v>21</v>
      </c>
      <c r="D7" s="9"/>
      <c r="E7" s="9"/>
      <c r="F7" s="9"/>
      <c r="G7" s="9"/>
      <c r="H7" s="20" t="s">
        <v>30</v>
      </c>
      <c r="I7" s="93">
        <v>0.24</v>
      </c>
      <c r="J7" s="19" t="s">
        <v>33</v>
      </c>
      <c r="K7" s="6"/>
      <c r="L7" s="5"/>
      <c r="M7" s="4"/>
      <c r="N7" s="5"/>
      <c r="O7" s="4"/>
      <c r="P7" s="5"/>
      <c r="Q7" s="4"/>
      <c r="R7" s="4"/>
    </row>
    <row r="8" spans="1:20" x14ac:dyDescent="0.2">
      <c r="A8" s="72" t="s">
        <v>24</v>
      </c>
      <c r="B8" s="120">
        <v>400</v>
      </c>
      <c r="C8" s="68" t="s">
        <v>221</v>
      </c>
      <c r="D8" s="9"/>
      <c r="E8" s="9"/>
      <c r="F8" s="9"/>
      <c r="G8" s="9"/>
      <c r="H8" s="151" t="s">
        <v>32</v>
      </c>
      <c r="I8" s="93">
        <v>4.1000000000000002E-2</v>
      </c>
      <c r="J8" s="19"/>
      <c r="K8" s="6"/>
      <c r="L8" s="5"/>
      <c r="M8" s="4"/>
      <c r="N8" s="5"/>
      <c r="O8" s="4"/>
      <c r="P8" s="5"/>
      <c r="Q8" s="4"/>
      <c r="R8" s="4"/>
    </row>
    <row r="9" spans="1:20" x14ac:dyDescent="0.2">
      <c r="A9" s="72" t="s">
        <v>20</v>
      </c>
      <c r="B9" s="120">
        <v>40</v>
      </c>
      <c r="C9" s="69" t="s">
        <v>21</v>
      </c>
      <c r="D9" s="9"/>
      <c r="E9" s="9"/>
      <c r="F9" s="9"/>
      <c r="G9" s="9"/>
      <c r="H9" s="20" t="s">
        <v>22</v>
      </c>
      <c r="I9" s="93">
        <v>0.56000000000000005</v>
      </c>
      <c r="J9" s="19" t="s">
        <v>33</v>
      </c>
      <c r="K9" s="6"/>
      <c r="L9" s="5"/>
      <c r="M9" s="4"/>
      <c r="N9" s="5"/>
      <c r="O9" s="4"/>
      <c r="P9" s="5"/>
      <c r="Q9" s="4"/>
      <c r="R9" s="4"/>
    </row>
    <row r="10" spans="1:20" x14ac:dyDescent="0.2">
      <c r="A10" s="72" t="s">
        <v>156</v>
      </c>
      <c r="B10" s="120">
        <v>28</v>
      </c>
      <c r="C10" s="69" t="s">
        <v>21</v>
      </c>
      <c r="D10" s="9"/>
      <c r="E10" s="9"/>
      <c r="F10" s="9"/>
      <c r="G10" s="9"/>
      <c r="H10" s="13"/>
      <c r="I10" s="158"/>
      <c r="J10" s="14"/>
      <c r="K10" s="6"/>
      <c r="L10" s="5"/>
      <c r="M10" s="4"/>
      <c r="N10" s="5"/>
      <c r="O10" s="4"/>
      <c r="P10" s="5"/>
      <c r="Q10" s="4"/>
      <c r="R10" s="4"/>
    </row>
    <row r="11" spans="1:20" x14ac:dyDescent="0.2">
      <c r="A11" s="72" t="s">
        <v>102</v>
      </c>
      <c r="B11" s="120">
        <v>1000</v>
      </c>
      <c r="C11" s="68" t="s">
        <v>103</v>
      </c>
      <c r="D11" s="9"/>
      <c r="E11" s="9"/>
      <c r="F11" s="9"/>
      <c r="G11" s="9"/>
      <c r="H11" s="13"/>
      <c r="I11" s="158"/>
      <c r="J11" s="14"/>
      <c r="K11" s="6"/>
      <c r="L11" s="5"/>
      <c r="M11" s="4"/>
      <c r="N11" s="5"/>
      <c r="O11" s="4"/>
      <c r="P11" s="5"/>
      <c r="Q11" s="4"/>
      <c r="R11" s="4"/>
    </row>
    <row r="12" spans="1:20" x14ac:dyDescent="0.2">
      <c r="A12" s="135"/>
      <c r="B12" s="136"/>
      <c r="C12" s="137"/>
      <c r="D12" s="9"/>
      <c r="E12" s="9"/>
      <c r="F12" s="9"/>
      <c r="G12" s="9"/>
      <c r="H12" s="13"/>
      <c r="I12" s="158"/>
      <c r="J12" s="14"/>
      <c r="K12" s="6"/>
      <c r="L12" s="5"/>
      <c r="M12" s="4"/>
      <c r="N12" s="5"/>
      <c r="O12" s="4"/>
      <c r="P12" s="5"/>
      <c r="Q12" s="4"/>
      <c r="R12" s="4"/>
    </row>
    <row r="13" spans="1:20" x14ac:dyDescent="0.2">
      <c r="A13" s="108"/>
      <c r="B13" s="159"/>
      <c r="C13" s="16"/>
      <c r="D13" s="15"/>
      <c r="E13" s="15"/>
      <c r="F13" s="15"/>
      <c r="G13" s="15"/>
      <c r="H13" s="106"/>
      <c r="I13" s="160"/>
      <c r="J13" s="16"/>
      <c r="K13" s="6"/>
      <c r="L13" s="5"/>
      <c r="M13" s="4"/>
      <c r="N13" s="5"/>
      <c r="O13" s="4"/>
      <c r="P13" s="5"/>
      <c r="Q13" s="4"/>
      <c r="R13" s="5"/>
      <c r="S13" s="4"/>
      <c r="T13" s="4"/>
    </row>
    <row r="14" spans="1:20" x14ac:dyDescent="0.2">
      <c r="A14" s="1"/>
      <c r="K14" s="3"/>
      <c r="L14" s="6"/>
      <c r="M14" s="6"/>
      <c r="N14" s="5"/>
      <c r="O14" s="4"/>
      <c r="P14" s="5"/>
      <c r="Q14" s="4"/>
      <c r="R14" s="4"/>
    </row>
    <row r="15" spans="1:20" s="1" customFormat="1" x14ac:dyDescent="0.2">
      <c r="A15"/>
      <c r="B15" s="3"/>
      <c r="C15" s="3"/>
      <c r="D15" s="6"/>
      <c r="E15" s="6"/>
      <c r="F15" s="3"/>
      <c r="G15" s="3"/>
      <c r="H15" s="3"/>
      <c r="I15" s="3"/>
      <c r="J15" s="6"/>
      <c r="K15" s="6"/>
      <c r="L15" s="5"/>
      <c r="M15" s="4"/>
    </row>
    <row r="16" spans="1:20" s="1" customFormat="1" x14ac:dyDescent="0.2">
      <c r="A16" s="23" t="s">
        <v>0</v>
      </c>
      <c r="B16" s="24" t="s">
        <v>35</v>
      </c>
      <c r="C16" s="24" t="s">
        <v>208</v>
      </c>
      <c r="D16" s="24" t="s">
        <v>212</v>
      </c>
      <c r="E16" s="25" t="s">
        <v>35</v>
      </c>
      <c r="F16" s="24" t="s">
        <v>208</v>
      </c>
      <c r="G16" s="24" t="s">
        <v>212</v>
      </c>
      <c r="H16" s="25" t="s">
        <v>35</v>
      </c>
      <c r="I16" s="24" t="s">
        <v>208</v>
      </c>
      <c r="J16" s="24" t="s">
        <v>212</v>
      </c>
    </row>
    <row r="17" spans="1:49" s="1" customFormat="1" x14ac:dyDescent="0.2">
      <c r="A17" s="21"/>
      <c r="B17" s="21" t="s">
        <v>223</v>
      </c>
      <c r="C17" s="21" t="s">
        <v>209</v>
      </c>
      <c r="D17" s="21" t="s">
        <v>213</v>
      </c>
      <c r="E17" s="21" t="s">
        <v>224</v>
      </c>
      <c r="F17" s="21" t="s">
        <v>209</v>
      </c>
      <c r="G17" s="21" t="s">
        <v>213</v>
      </c>
      <c r="H17" s="21" t="s">
        <v>225</v>
      </c>
      <c r="I17" s="21" t="s">
        <v>209</v>
      </c>
      <c r="J17" s="21" t="s">
        <v>213</v>
      </c>
    </row>
    <row r="18" spans="1:49" s="1" customFormat="1" x14ac:dyDescent="0.2">
      <c r="A18" s="21"/>
      <c r="B18" s="21"/>
      <c r="C18" s="21" t="s">
        <v>210</v>
      </c>
      <c r="D18" s="21" t="s">
        <v>154</v>
      </c>
      <c r="E18" s="21"/>
      <c r="F18" s="21" t="s">
        <v>210</v>
      </c>
      <c r="G18" s="21" t="s">
        <v>154</v>
      </c>
      <c r="H18" s="21"/>
      <c r="I18" s="21" t="s">
        <v>210</v>
      </c>
      <c r="J18" s="21" t="s">
        <v>154</v>
      </c>
    </row>
    <row r="19" spans="1:49" s="1" customFormat="1" x14ac:dyDescent="0.2">
      <c r="A19" s="21"/>
      <c r="B19" s="21"/>
      <c r="C19" s="21" t="s">
        <v>211</v>
      </c>
      <c r="D19" s="21"/>
      <c r="E19" s="21"/>
      <c r="F19" s="21" t="s">
        <v>211</v>
      </c>
      <c r="G19" s="21"/>
      <c r="H19" s="21"/>
      <c r="I19" s="21" t="s">
        <v>211</v>
      </c>
      <c r="J19" s="21"/>
    </row>
    <row r="20" spans="1:49" s="1" customFormat="1" x14ac:dyDescent="0.2">
      <c r="A20" s="21"/>
      <c r="B20" s="21"/>
      <c r="C20" s="21" t="s">
        <v>154</v>
      </c>
      <c r="D20" s="21"/>
      <c r="E20" s="21"/>
      <c r="F20" s="21" t="s">
        <v>154</v>
      </c>
      <c r="G20" s="21"/>
      <c r="H20" s="21"/>
      <c r="I20" s="21" t="s">
        <v>154</v>
      </c>
      <c r="J20" s="21"/>
    </row>
    <row r="21" spans="1:49" s="1" customForma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49" s="1" customForma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s="1" customFormat="1" x14ac:dyDescent="0.2">
      <c r="A23" s="72" t="s">
        <v>53</v>
      </c>
      <c r="B23" s="115">
        <v>2500</v>
      </c>
      <c r="C23" s="115"/>
      <c r="D23" s="115"/>
      <c r="E23" s="116"/>
      <c r="F23" s="115"/>
      <c r="G23" s="115"/>
      <c r="H23" s="116"/>
      <c r="I23" s="115"/>
      <c r="J23" s="11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s="1" customFormat="1" x14ac:dyDescent="0.2">
      <c r="A24" s="72" t="s">
        <v>71</v>
      </c>
      <c r="B24" s="117"/>
      <c r="C24" s="117"/>
      <c r="D24" s="117"/>
      <c r="E24" s="118">
        <v>15000</v>
      </c>
      <c r="F24" s="117"/>
      <c r="G24" s="117"/>
      <c r="H24" s="118">
        <v>5500</v>
      </c>
      <c r="I24" s="117"/>
      <c r="J24" s="11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s="1" customFormat="1" x14ac:dyDescent="0.2">
      <c r="A25" s="72" t="s">
        <v>232</v>
      </c>
      <c r="B25" s="170">
        <v>120</v>
      </c>
      <c r="C25" s="170">
        <v>120</v>
      </c>
      <c r="D25" s="170">
        <v>120</v>
      </c>
      <c r="E25" s="170">
        <v>140</v>
      </c>
      <c r="F25" s="170">
        <v>140</v>
      </c>
      <c r="G25" s="170">
        <v>140</v>
      </c>
      <c r="H25" s="170">
        <v>120</v>
      </c>
      <c r="I25" s="170">
        <v>120</v>
      </c>
      <c r="J25" s="170">
        <v>120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1" customFormat="1" x14ac:dyDescent="0.2">
      <c r="A26" s="36"/>
      <c r="B26" s="146"/>
      <c r="C26" s="146"/>
      <c r="D26" s="146"/>
      <c r="E26" s="149"/>
      <c r="F26" s="146"/>
      <c r="G26" s="146"/>
      <c r="H26" s="149"/>
      <c r="I26" s="146"/>
      <c r="J26" s="14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s="1" customFormat="1" x14ac:dyDescent="0.2">
      <c r="A27" s="72" t="s">
        <v>198</v>
      </c>
      <c r="B27" s="117"/>
      <c r="C27" s="144">
        <v>10.600000000000001</v>
      </c>
      <c r="D27" s="144">
        <v>10.600000000000001</v>
      </c>
      <c r="E27" s="145"/>
      <c r="F27" s="144">
        <v>7.3</v>
      </c>
      <c r="G27" s="144">
        <v>7.3</v>
      </c>
      <c r="H27" s="145"/>
      <c r="I27" s="144">
        <v>2.8</v>
      </c>
      <c r="J27" s="144">
        <v>2.8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s="1" customFormat="1" x14ac:dyDescent="0.2">
      <c r="A28" s="72" t="s">
        <v>199</v>
      </c>
      <c r="B28" s="117"/>
      <c r="C28" s="138">
        <v>3.8</v>
      </c>
      <c r="D28" s="138">
        <v>3.8</v>
      </c>
      <c r="E28" s="139"/>
      <c r="F28" s="138">
        <v>3.8</v>
      </c>
      <c r="G28" s="138">
        <v>3.8</v>
      </c>
      <c r="H28" s="139"/>
      <c r="I28" s="138">
        <v>3.8</v>
      </c>
      <c r="J28" s="138">
        <v>3.8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s="1" customFormat="1" x14ac:dyDescent="0.2">
      <c r="A29" s="72" t="s">
        <v>90</v>
      </c>
      <c r="B29" s="117"/>
      <c r="C29" s="119">
        <v>55</v>
      </c>
      <c r="D29" s="119">
        <v>55</v>
      </c>
      <c r="E29" s="116"/>
      <c r="F29" s="119">
        <v>55</v>
      </c>
      <c r="G29" s="119">
        <v>55</v>
      </c>
      <c r="H29" s="116"/>
      <c r="I29" s="119">
        <v>55</v>
      </c>
      <c r="J29" s="119">
        <v>55</v>
      </c>
    </row>
    <row r="30" spans="1:49" s="1" customFormat="1" x14ac:dyDescent="0.2">
      <c r="A30" s="72" t="s">
        <v>216</v>
      </c>
      <c r="B30" s="152"/>
      <c r="C30" s="152">
        <v>0.8</v>
      </c>
      <c r="D30" s="152">
        <v>0.8</v>
      </c>
      <c r="E30" s="153"/>
      <c r="F30" s="152">
        <v>0.8</v>
      </c>
      <c r="G30" s="152">
        <v>0.8</v>
      </c>
      <c r="H30" s="153"/>
      <c r="I30" s="152">
        <v>0.8</v>
      </c>
      <c r="J30" s="152">
        <v>0.8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spans="1:49" s="1" customFormat="1" x14ac:dyDescent="0.2">
      <c r="A31" s="36"/>
      <c r="B31" s="146"/>
      <c r="C31" s="147"/>
      <c r="D31" s="147"/>
      <c r="E31" s="148"/>
      <c r="F31" s="147"/>
      <c r="G31" s="147"/>
      <c r="H31" s="148"/>
      <c r="I31" s="147"/>
      <c r="J31" s="147"/>
    </row>
    <row r="32" spans="1:49" s="1" customFormat="1" x14ac:dyDescent="0.2">
      <c r="A32" s="72" t="s">
        <v>7</v>
      </c>
      <c r="B32" s="87"/>
      <c r="C32" s="87">
        <v>35000</v>
      </c>
      <c r="D32" s="87">
        <v>40000</v>
      </c>
      <c r="E32" s="87"/>
      <c r="F32" s="87">
        <v>26000</v>
      </c>
      <c r="G32" s="87">
        <v>31000</v>
      </c>
      <c r="H32" s="87"/>
      <c r="I32" s="87">
        <v>10000</v>
      </c>
      <c r="J32" s="87">
        <v>15000</v>
      </c>
    </row>
    <row r="33" spans="1:10" s="1" customFormat="1" x14ac:dyDescent="0.2">
      <c r="A33" s="72" t="s">
        <v>203</v>
      </c>
      <c r="B33" s="87"/>
      <c r="C33" s="87"/>
      <c r="D33" s="87"/>
      <c r="E33" s="87"/>
      <c r="F33" s="87"/>
      <c r="G33" s="87"/>
      <c r="H33" s="87"/>
      <c r="I33" s="87"/>
      <c r="J33" s="87"/>
    </row>
    <row r="34" spans="1:10" s="1" customFormat="1" x14ac:dyDescent="0.2">
      <c r="A34" s="72" t="s">
        <v>38</v>
      </c>
      <c r="B34" s="87"/>
      <c r="C34" s="87"/>
      <c r="D34" s="87">
        <v>-9330</v>
      </c>
      <c r="E34" s="87"/>
      <c r="F34" s="87"/>
      <c r="G34" s="87">
        <v>-8000</v>
      </c>
      <c r="H34" s="87"/>
      <c r="I34" s="87"/>
      <c r="J34" s="87">
        <v>-6000</v>
      </c>
    </row>
    <row r="35" spans="1:10" s="1" customFormat="1" x14ac:dyDescent="0.2">
      <c r="A35" s="72" t="s">
        <v>36</v>
      </c>
      <c r="B35" s="87"/>
      <c r="C35" s="87"/>
      <c r="D35" s="87"/>
      <c r="E35" s="87"/>
      <c r="F35" s="87"/>
      <c r="G35" s="87"/>
      <c r="H35" s="87"/>
      <c r="I35" s="87"/>
      <c r="J35" s="87"/>
    </row>
    <row r="36" spans="1:10" s="1" customFormat="1" x14ac:dyDescent="0.2">
      <c r="A36" s="72" t="s">
        <v>37</v>
      </c>
      <c r="B36" s="87"/>
      <c r="C36" s="87"/>
      <c r="D36" s="87">
        <v>2000</v>
      </c>
      <c r="E36" s="87"/>
      <c r="F36" s="87"/>
      <c r="G36" s="87">
        <v>2000</v>
      </c>
      <c r="H36" s="87"/>
      <c r="I36" s="87"/>
      <c r="J36" s="87">
        <v>2000</v>
      </c>
    </row>
    <row r="37" spans="1:10" s="1" customFormat="1" x14ac:dyDescent="0.2">
      <c r="A37" s="72" t="s">
        <v>6</v>
      </c>
      <c r="B37" s="87"/>
      <c r="C37" s="87"/>
      <c r="D37" s="87"/>
      <c r="E37" s="87"/>
      <c r="F37" s="87"/>
      <c r="G37" s="87"/>
      <c r="H37" s="87"/>
      <c r="I37" s="87"/>
      <c r="J37" s="87"/>
    </row>
    <row r="38" spans="1:10" s="1" customFormat="1" x14ac:dyDescent="0.2">
      <c r="A38" s="72" t="s">
        <v>11</v>
      </c>
      <c r="B38" s="87"/>
      <c r="C38" s="87"/>
      <c r="D38" s="87"/>
      <c r="E38" s="87"/>
      <c r="F38" s="87"/>
      <c r="G38" s="87"/>
      <c r="H38" s="87"/>
      <c r="I38" s="87"/>
      <c r="J38" s="87"/>
    </row>
    <row r="39" spans="1:10" s="1" customFormat="1" x14ac:dyDescent="0.2">
      <c r="A39" s="72" t="s">
        <v>8</v>
      </c>
      <c r="B39" s="87"/>
      <c r="C39" s="87"/>
      <c r="D39" s="87">
        <v>1000</v>
      </c>
      <c r="E39" s="87"/>
      <c r="F39" s="87"/>
      <c r="G39" s="87">
        <v>1000</v>
      </c>
      <c r="H39" s="87"/>
      <c r="I39" s="87"/>
      <c r="J39" s="87">
        <v>1000</v>
      </c>
    </row>
    <row r="40" spans="1:10" s="1" customFormat="1" x14ac:dyDescent="0.2">
      <c r="A40" s="72" t="s">
        <v>9</v>
      </c>
      <c r="B40" s="87"/>
      <c r="C40" s="87"/>
      <c r="D40" s="87"/>
      <c r="E40" s="87"/>
      <c r="F40" s="87"/>
      <c r="G40" s="87"/>
      <c r="H40" s="87"/>
      <c r="I40" s="87"/>
      <c r="J40" s="87"/>
    </row>
    <row r="41" spans="1:10" s="1" customFormat="1" x14ac:dyDescent="0.2">
      <c r="A41" s="72" t="s">
        <v>10</v>
      </c>
      <c r="B41" s="87"/>
      <c r="C41" s="87"/>
      <c r="D41" s="87"/>
      <c r="E41" s="87"/>
      <c r="F41" s="87"/>
      <c r="G41" s="87"/>
      <c r="H41" s="87"/>
      <c r="I41" s="87">
        <v>-6000</v>
      </c>
      <c r="J41" s="87">
        <v>-6000</v>
      </c>
    </row>
    <row r="42" spans="1:10" x14ac:dyDescent="0.2">
      <c r="A42" s="88" t="s">
        <v>12</v>
      </c>
      <c r="B42" s="89"/>
      <c r="C42" s="89"/>
      <c r="D42" s="89"/>
      <c r="E42" s="89"/>
      <c r="F42" s="89"/>
      <c r="G42" s="89"/>
      <c r="H42" s="89"/>
      <c r="I42" s="89"/>
      <c r="J42" s="89"/>
    </row>
    <row r="43" spans="1:10" x14ac:dyDescent="0.2">
      <c r="A43" s="28" t="s">
        <v>1</v>
      </c>
      <c r="B43" s="29">
        <f>SUM(B32:B42)</f>
        <v>0</v>
      </c>
      <c r="C43" s="29">
        <f t="shared" ref="C43" si="0">SUM(C32:C42)</f>
        <v>35000</v>
      </c>
      <c r="D43" s="29">
        <f>SUM(D32:D42)</f>
        <v>33670</v>
      </c>
      <c r="E43" s="29">
        <v>0</v>
      </c>
      <c r="F43" s="29">
        <f t="shared" ref="F43" si="1">SUM(F32:F42)</f>
        <v>26000</v>
      </c>
      <c r="G43" s="29">
        <f>SUM(G32:G42)</f>
        <v>26000</v>
      </c>
      <c r="H43" s="29">
        <f t="shared" ref="H43:I43" si="2">SUM(H32:H42)</f>
        <v>0</v>
      </c>
      <c r="I43" s="29">
        <f t="shared" si="2"/>
        <v>4000</v>
      </c>
      <c r="J43" s="29">
        <f>SUM(J32:J42)</f>
        <v>6000</v>
      </c>
    </row>
    <row r="44" spans="1:10" x14ac:dyDescent="0.2">
      <c r="A44" s="23" t="s">
        <v>61</v>
      </c>
      <c r="B44" s="92"/>
      <c r="C44" s="92">
        <v>30000</v>
      </c>
      <c r="D44" s="92">
        <v>30000</v>
      </c>
      <c r="E44" s="92"/>
      <c r="F44" s="92">
        <f>IF(F32+F36+F41&gt;60000,60000,F32+F36+F41)</f>
        <v>26000</v>
      </c>
      <c r="G44" s="92">
        <v>30000</v>
      </c>
      <c r="H44" s="92"/>
      <c r="I44" s="92">
        <v>0</v>
      </c>
      <c r="J44" s="92">
        <v>0</v>
      </c>
    </row>
    <row r="45" spans="1:10" x14ac:dyDescent="0.2">
      <c r="A45" s="23" t="s">
        <v>62</v>
      </c>
      <c r="B45" s="92"/>
      <c r="C45" s="92">
        <v>18000</v>
      </c>
      <c r="D45" s="92">
        <v>21000</v>
      </c>
      <c r="E45" s="92"/>
      <c r="F45" s="92">
        <v>15600</v>
      </c>
      <c r="G45" s="92">
        <v>21000</v>
      </c>
      <c r="H45" s="92"/>
      <c r="I45" s="92">
        <v>0</v>
      </c>
      <c r="J45" s="92">
        <v>0</v>
      </c>
    </row>
    <row r="46" spans="1:10" x14ac:dyDescent="0.2">
      <c r="A46" s="23" t="s">
        <v>63</v>
      </c>
      <c r="B46" s="92"/>
      <c r="C46" s="92">
        <v>0</v>
      </c>
      <c r="D46" s="92">
        <v>0</v>
      </c>
      <c r="E46" s="92"/>
      <c r="F46" s="92">
        <v>0</v>
      </c>
      <c r="G46" s="92">
        <v>0</v>
      </c>
      <c r="H46" s="92"/>
      <c r="I46" s="92">
        <v>0</v>
      </c>
      <c r="J46" s="92">
        <v>0</v>
      </c>
    </row>
    <row r="47" spans="1:10" x14ac:dyDescent="0.2">
      <c r="A47" s="32" t="s">
        <v>5</v>
      </c>
      <c r="B47" s="30"/>
      <c r="C47" s="30">
        <f t="shared" ref="C47:D47" si="3">C45</f>
        <v>18000</v>
      </c>
      <c r="D47" s="30">
        <f t="shared" si="3"/>
        <v>21000</v>
      </c>
      <c r="E47" s="30"/>
      <c r="F47" s="30">
        <f t="shared" ref="F47:G47" si="4">F45</f>
        <v>15600</v>
      </c>
      <c r="G47" s="30">
        <f t="shared" si="4"/>
        <v>21000</v>
      </c>
      <c r="H47" s="30"/>
      <c r="I47" s="30">
        <f t="shared" ref="I47:J47" si="5">I45</f>
        <v>0</v>
      </c>
      <c r="J47" s="30">
        <f t="shared" si="5"/>
        <v>0</v>
      </c>
    </row>
    <row r="48" spans="1:10" x14ac:dyDescent="0.2">
      <c r="A48" s="21" t="s">
        <v>13</v>
      </c>
      <c r="B48" s="22">
        <f t="shared" ref="B48" si="6">B43-B47</f>
        <v>0</v>
      </c>
      <c r="C48" s="22">
        <f t="shared" ref="C48:D48" si="7">C43-C47</f>
        <v>17000</v>
      </c>
      <c r="D48" s="22">
        <f t="shared" si="7"/>
        <v>12670</v>
      </c>
      <c r="E48" s="22">
        <v>0</v>
      </c>
      <c r="F48" s="22">
        <f t="shared" ref="F48:G48" si="8">F43-F47</f>
        <v>10400</v>
      </c>
      <c r="G48" s="22">
        <f t="shared" si="8"/>
        <v>5000</v>
      </c>
      <c r="H48" s="22">
        <f t="shared" ref="H48:J48" si="9">H43-H47</f>
        <v>0</v>
      </c>
      <c r="I48" s="22">
        <f t="shared" si="9"/>
        <v>4000</v>
      </c>
      <c r="J48" s="22">
        <f t="shared" si="9"/>
        <v>6000</v>
      </c>
    </row>
    <row r="49" spans="1:10" x14ac:dyDescent="0.2">
      <c r="A49" s="28" t="s">
        <v>45</v>
      </c>
      <c r="B49" s="29">
        <v>0</v>
      </c>
      <c r="C49" s="29">
        <f t="shared" ref="C49:D49" si="10">C48</f>
        <v>17000</v>
      </c>
      <c r="D49" s="29">
        <f t="shared" si="10"/>
        <v>12670</v>
      </c>
      <c r="E49" s="29">
        <f t="shared" ref="E49" si="11">E48-$B$48</f>
        <v>0</v>
      </c>
      <c r="F49" s="29">
        <f t="shared" ref="F49:G49" si="12">F48</f>
        <v>10400</v>
      </c>
      <c r="G49" s="29">
        <f t="shared" si="12"/>
        <v>5000</v>
      </c>
      <c r="H49" s="29">
        <f>H48-$B$43</f>
        <v>0</v>
      </c>
      <c r="I49" s="29">
        <f t="shared" ref="I49:J49" si="13">I48</f>
        <v>4000</v>
      </c>
      <c r="J49" s="29">
        <f t="shared" si="13"/>
        <v>6000</v>
      </c>
    </row>
    <row r="50" spans="1:10" x14ac:dyDescent="0.2">
      <c r="A50" s="34" t="s">
        <v>66</v>
      </c>
      <c r="B50" s="35">
        <v>17520</v>
      </c>
      <c r="C50" s="35">
        <f>B50</f>
        <v>17520</v>
      </c>
      <c r="D50" s="35">
        <f t="shared" ref="D50" si="14">C50</f>
        <v>17520</v>
      </c>
      <c r="E50" s="35">
        <v>9900</v>
      </c>
      <c r="F50" s="35">
        <f>E50</f>
        <v>9900</v>
      </c>
      <c r="G50" s="35">
        <f t="shared" ref="G50:G51" si="15">F50</f>
        <v>9900</v>
      </c>
      <c r="H50" s="35">
        <v>1800</v>
      </c>
      <c r="I50" s="35">
        <f>H50</f>
        <v>1800</v>
      </c>
      <c r="J50" s="35">
        <f t="shared" ref="J50:J51" si="16">I50</f>
        <v>1800</v>
      </c>
    </row>
    <row r="51" spans="1:10" x14ac:dyDescent="0.2">
      <c r="A51" s="82" t="s">
        <v>67</v>
      </c>
      <c r="B51" s="101">
        <v>1600</v>
      </c>
      <c r="C51" s="101">
        <f>B51</f>
        <v>1600</v>
      </c>
      <c r="D51" s="101">
        <f t="shared" ref="D51" si="17">C51</f>
        <v>1600</v>
      </c>
      <c r="E51" s="101">
        <v>3200</v>
      </c>
      <c r="F51" s="101">
        <f>E51</f>
        <v>3200</v>
      </c>
      <c r="G51" s="101">
        <f t="shared" si="15"/>
        <v>3200</v>
      </c>
      <c r="H51" s="101">
        <v>3200</v>
      </c>
      <c r="I51" s="101">
        <f>H51</f>
        <v>3200</v>
      </c>
      <c r="J51" s="101">
        <f t="shared" si="16"/>
        <v>3200</v>
      </c>
    </row>
    <row r="52" spans="1:10" x14ac:dyDescent="0.2">
      <c r="A52" s="82" t="s">
        <v>97</v>
      </c>
      <c r="B52" s="114">
        <v>2500</v>
      </c>
      <c r="C52" s="114">
        <v>1057</v>
      </c>
      <c r="D52" s="114">
        <v>0</v>
      </c>
      <c r="E52" s="101"/>
      <c r="F52" s="114"/>
      <c r="G52" s="114"/>
      <c r="H52" s="101"/>
      <c r="I52" s="114"/>
      <c r="J52" s="114"/>
    </row>
    <row r="53" spans="1:10" x14ac:dyDescent="0.2">
      <c r="A53" s="36" t="s">
        <v>80</v>
      </c>
      <c r="B53" s="37"/>
      <c r="C53" s="37"/>
      <c r="D53" s="37"/>
      <c r="E53" s="37">
        <v>15000</v>
      </c>
      <c r="F53" s="37">
        <v>4520</v>
      </c>
      <c r="G53" s="37">
        <v>0</v>
      </c>
      <c r="H53" s="37">
        <v>5500</v>
      </c>
      <c r="I53" s="37">
        <v>1500</v>
      </c>
      <c r="J53" s="37">
        <v>0</v>
      </c>
    </row>
    <row r="54" spans="1:10" x14ac:dyDescent="0.2">
      <c r="A54" s="36" t="s">
        <v>222</v>
      </c>
      <c r="B54" s="155"/>
      <c r="C54" s="155"/>
      <c r="D54" s="155">
        <v>0.89</v>
      </c>
      <c r="E54" s="155"/>
      <c r="F54" s="155"/>
      <c r="G54" s="155">
        <v>0.61</v>
      </c>
      <c r="H54" s="155"/>
      <c r="I54" s="155"/>
      <c r="J54" s="155">
        <v>0.23</v>
      </c>
    </row>
    <row r="55" spans="1:10" x14ac:dyDescent="0.2">
      <c r="A55" s="36" t="s">
        <v>44</v>
      </c>
      <c r="B55" s="37">
        <v>4000</v>
      </c>
      <c r="C55" s="37">
        <f>B55</f>
        <v>4000</v>
      </c>
      <c r="D55" s="37">
        <f t="shared" ref="D55" si="18">C55</f>
        <v>4000</v>
      </c>
      <c r="E55" s="37">
        <v>3000</v>
      </c>
      <c r="F55" s="37">
        <f>E55</f>
        <v>3000</v>
      </c>
      <c r="G55" s="37">
        <f t="shared" ref="G55" si="19">F55</f>
        <v>3000</v>
      </c>
      <c r="H55" s="37">
        <v>3000</v>
      </c>
      <c r="I55" s="37">
        <f>H55</f>
        <v>3000</v>
      </c>
      <c r="J55" s="37">
        <f t="shared" ref="J55" si="20">I55</f>
        <v>3000</v>
      </c>
    </row>
    <row r="56" spans="1:10" x14ac:dyDescent="0.2">
      <c r="A56" s="36" t="s">
        <v>197</v>
      </c>
      <c r="B56" s="37"/>
      <c r="C56" s="37">
        <v>4030</v>
      </c>
      <c r="D56" s="37">
        <v>4030</v>
      </c>
      <c r="E56" s="37"/>
      <c r="F56" s="37">
        <v>2760</v>
      </c>
      <c r="G56" s="37">
        <v>2760</v>
      </c>
      <c r="H56" s="37"/>
      <c r="I56" s="37">
        <v>1050</v>
      </c>
      <c r="J56" s="37">
        <v>1050</v>
      </c>
    </row>
    <row r="57" spans="1:10" x14ac:dyDescent="0.2">
      <c r="A57" s="36" t="s">
        <v>18</v>
      </c>
      <c r="B57" s="37">
        <f>10.6*B23+B55</f>
        <v>30500</v>
      </c>
      <c r="C57" s="37">
        <f>10*ROUND((10.6*C52+C55+C56)/10,0)</f>
        <v>19230</v>
      </c>
      <c r="D57" s="37">
        <v>12810</v>
      </c>
      <c r="E57" s="37">
        <v>18000</v>
      </c>
      <c r="F57" s="37">
        <v>10280</v>
      </c>
      <c r="G57" s="37">
        <v>9040</v>
      </c>
      <c r="H57" s="37">
        <v>8500</v>
      </c>
      <c r="I57" s="37">
        <v>5550</v>
      </c>
      <c r="J57" s="37">
        <v>5300</v>
      </c>
    </row>
    <row r="58" spans="1:10" x14ac:dyDescent="0.2">
      <c r="A58" s="36" t="s">
        <v>41</v>
      </c>
      <c r="B58" s="38">
        <f>10*ROUND((100*B23*$B$6+B55*$B$9)/1000,0)</f>
        <v>5100</v>
      </c>
      <c r="C58" s="38">
        <f>10*ROUND((100*C52*$B$6+C55*$B$9+C56*$B$10)/1000,0)</f>
        <v>4210</v>
      </c>
      <c r="D58" s="38">
        <v>3080</v>
      </c>
      <c r="E58" s="38">
        <v>3000</v>
      </c>
      <c r="F58" s="38">
        <v>2520</v>
      </c>
      <c r="G58" s="38">
        <v>2220</v>
      </c>
      <c r="H58" s="38">
        <v>1860</v>
      </c>
      <c r="I58" s="38">
        <v>1670</v>
      </c>
      <c r="J58" s="38">
        <v>1590</v>
      </c>
    </row>
    <row r="59" spans="1:10" x14ac:dyDescent="0.2">
      <c r="A59" s="33" t="s">
        <v>42</v>
      </c>
      <c r="B59" s="31">
        <v>200</v>
      </c>
      <c r="C59" s="31">
        <v>250</v>
      </c>
      <c r="D59" s="31">
        <v>400</v>
      </c>
      <c r="E59" s="31">
        <v>150</v>
      </c>
      <c r="F59" s="31">
        <v>200</v>
      </c>
      <c r="G59" s="31">
        <v>400</v>
      </c>
      <c r="H59" s="140">
        <v>150</v>
      </c>
      <c r="I59" s="31">
        <v>200</v>
      </c>
      <c r="J59" s="31">
        <v>400</v>
      </c>
    </row>
    <row r="60" spans="1:10" x14ac:dyDescent="0.2">
      <c r="A60" s="39" t="s">
        <v>43</v>
      </c>
      <c r="B60" s="40">
        <f>B58+B59</f>
        <v>5300</v>
      </c>
      <c r="C60" s="40">
        <f t="shared" ref="C60" si="21">C58+C59</f>
        <v>4460</v>
      </c>
      <c r="D60" s="40">
        <f t="shared" ref="D60" si="22">D58+D59</f>
        <v>3480</v>
      </c>
      <c r="E60" s="40">
        <f>E58+E59</f>
        <v>3150</v>
      </c>
      <c r="F60" s="40">
        <f t="shared" ref="F60:G60" si="23">F58+F59</f>
        <v>2720</v>
      </c>
      <c r="G60" s="40">
        <f t="shared" si="23"/>
        <v>2620</v>
      </c>
      <c r="H60" s="40">
        <f>H58+H59</f>
        <v>2010</v>
      </c>
      <c r="I60" s="40">
        <f t="shared" ref="I60:J60" si="24">I58+I59</f>
        <v>1870</v>
      </c>
      <c r="J60" s="40">
        <f t="shared" si="24"/>
        <v>1990</v>
      </c>
    </row>
    <row r="61" spans="1:10" x14ac:dyDescent="0.2">
      <c r="A61" s="28" t="s">
        <v>2</v>
      </c>
      <c r="B61" s="41"/>
      <c r="C61" s="41">
        <f>-C49-20*(C60-$B$60)</f>
        <v>-200</v>
      </c>
      <c r="D61" s="41">
        <f>-D49-20*(D60-$B$60)</f>
        <v>23730</v>
      </c>
      <c r="E61" s="41"/>
      <c r="F61" s="41">
        <f>-F49-20*(F60-$E$60)</f>
        <v>-1800</v>
      </c>
      <c r="G61" s="41">
        <f>-G49-20*(G60-$E$60)</f>
        <v>5600</v>
      </c>
      <c r="H61" s="41"/>
      <c r="I61" s="41">
        <f>-I49-20*(I60-$H$60)</f>
        <v>-1200</v>
      </c>
      <c r="J61" s="41">
        <f>-J49-20*(J60-$H$60)</f>
        <v>-5600</v>
      </c>
    </row>
    <row r="62" spans="1:10" x14ac:dyDescent="0.2">
      <c r="A62" s="28" t="s">
        <v>16</v>
      </c>
      <c r="B62" s="42"/>
      <c r="C62" s="43">
        <f>IF((($B$60-C60)=0),IF((C49&lt;=0),"sofort","nie"),IF((C49/($B$60-C60)&lt;=0),IF((C49&lt;=0),"sofort","nie"),C49/($B$60-C60)))</f>
        <v>20.238095238095237</v>
      </c>
      <c r="D62" s="43">
        <f>IF((($B$60-D60)=0),IF((D49&lt;=0),"sofort","nie"),IF((D49/($B$60-D60)&lt;=0),IF((D49&lt;=0),"sofort","nie"),D49/($B$60-D60)))</f>
        <v>6.9615384615384617</v>
      </c>
      <c r="E62" s="43"/>
      <c r="F62" s="43">
        <f>IF((($E$60-F60)=0),IF((F49&lt;=0),"sofort","nie"),IF((F49/($E$60-F60)&lt;=0),IF((F49&lt;=0),"sofort","nie"),F49/($E$60-F60)))</f>
        <v>24.186046511627907</v>
      </c>
      <c r="G62" s="43">
        <f>IF((($E$60-G60)=0),IF((G49&lt;=0),"sofort","nie"),IF((G49/($E$60-G60)&lt;=0),IF((G49&lt;=0),"sofort","nie"),G49/($E$60-G60)))</f>
        <v>9.433962264150944</v>
      </c>
      <c r="H62" s="43"/>
      <c r="I62" s="43">
        <f>IF((($H$60-I60)=0),IF((I49&lt;=0),"sofort","nie"),IF((I49/($H$60-I60)&lt;=0),IF((I49&lt;=0),"sofort","nie"),I49/($H$60-I60)))</f>
        <v>28.571428571428573</v>
      </c>
      <c r="J62" s="43">
        <f>IF((($H$60-J60)=0),IF((J49&lt;=0),"sofort","nie"),IF((J49/($H$60-J60)&lt;=0),IF((J49&lt;=0),"sofort","nie"),J49/($H$60-J60)))</f>
        <v>300</v>
      </c>
    </row>
    <row r="63" spans="1:10" x14ac:dyDescent="0.2">
      <c r="A63" s="28" t="s">
        <v>17</v>
      </c>
      <c r="B63" s="44">
        <f>ROUND((10.6*B23*$I$6+B55*$I$9)/1000,1)</f>
        <v>10.5</v>
      </c>
      <c r="C63" s="44">
        <f>ROUND((C52*$I$6*10.6+C53*$I$7+(C55+C56)*$I$9)/1000,1)</f>
        <v>8</v>
      </c>
      <c r="D63" s="44">
        <v>4.7</v>
      </c>
      <c r="E63" s="44">
        <v>5.3</v>
      </c>
      <c r="F63" s="44">
        <f>ROUND((F52*$I$6*10.6+F53*$I$7+(F55+F56)*$I$9)/1000,1)</f>
        <v>4.3</v>
      </c>
      <c r="G63" s="44">
        <v>3.4</v>
      </c>
      <c r="H63" s="44">
        <v>3</v>
      </c>
      <c r="I63" s="44">
        <f>ROUND((I52*$I$6*10.6+I53*$I$7+(I55+I56)*$I$9)/1000,1)</f>
        <v>2.6</v>
      </c>
      <c r="J63" s="44">
        <v>2.2999999999999998</v>
      </c>
    </row>
    <row r="64" spans="1:10" x14ac:dyDescent="0.2">
      <c r="A64" s="28" t="s">
        <v>3</v>
      </c>
      <c r="B64" s="45">
        <v>0</v>
      </c>
      <c r="C64" s="113">
        <f t="shared" ref="C64:D64" si="25">ROUND(100*($B$57-C57)/($B$57-$B$55),1)/100</f>
        <v>0.42499999999999999</v>
      </c>
      <c r="D64" s="113">
        <f t="shared" si="25"/>
        <v>0.66799999999999993</v>
      </c>
      <c r="E64" s="45">
        <f>ROUND(100*($E$57-E57)/($E$57-$E$55),1)/100</f>
        <v>0</v>
      </c>
      <c r="F64" s="113">
        <f t="shared" ref="F64:G64" si="26">ROUND(100*($E$57-F57)/($E$57-$E$55),1)/100</f>
        <v>0.51500000000000001</v>
      </c>
      <c r="G64" s="113">
        <f t="shared" si="26"/>
        <v>0.59699999999999998</v>
      </c>
      <c r="H64" s="45">
        <f>ROUND(100*($H$57-H57)/($H$57-$H$55),1)/100</f>
        <v>0</v>
      </c>
      <c r="I64" s="113">
        <f t="shared" ref="I64:J64" si="27">ROUND(100*($H$57-I57)/($H$57-$H$55),1)/100</f>
        <v>0.53600000000000003</v>
      </c>
      <c r="J64" s="113">
        <f t="shared" si="27"/>
        <v>0.58200000000000007</v>
      </c>
    </row>
    <row r="65" spans="1:10" x14ac:dyDescent="0.2">
      <c r="A65" s="28" t="s">
        <v>4</v>
      </c>
      <c r="B65" s="45">
        <v>0</v>
      </c>
      <c r="C65" s="113">
        <v>0</v>
      </c>
      <c r="D65" s="113">
        <v>0</v>
      </c>
      <c r="E65" s="45">
        <v>0</v>
      </c>
      <c r="F65" s="113">
        <v>0</v>
      </c>
      <c r="G65" s="113">
        <v>0</v>
      </c>
      <c r="H65" s="45">
        <v>0</v>
      </c>
      <c r="I65" s="113">
        <v>0</v>
      </c>
      <c r="J65" s="113">
        <v>0</v>
      </c>
    </row>
    <row r="66" spans="1:10" x14ac:dyDescent="0.2">
      <c r="A66" s="28" t="s">
        <v>127</v>
      </c>
      <c r="B66" s="45">
        <v>0</v>
      </c>
      <c r="C66" s="113">
        <f t="shared" ref="C66:D66" si="28">ROUND(100*($B$57-C57)/$B$57,1)/100</f>
        <v>0.37</v>
      </c>
      <c r="D66" s="113">
        <f t="shared" si="28"/>
        <v>0.57999999999999996</v>
      </c>
      <c r="E66" s="45">
        <f>ROUND(100*($E$57-E57)/$E$57,1)/100</f>
        <v>0</v>
      </c>
      <c r="F66" s="113">
        <f t="shared" ref="F66:G66" si="29">ROUND(100*($E$57-F57)/$E$57,1)/100</f>
        <v>0.42899999999999999</v>
      </c>
      <c r="G66" s="113">
        <f t="shared" si="29"/>
        <v>0.498</v>
      </c>
      <c r="H66" s="45">
        <f>ROUND(100*($H$57-H57)/$H$57,1)/100</f>
        <v>0</v>
      </c>
      <c r="I66" s="113">
        <f t="shared" ref="I66:J66" si="30">ROUND(100*($H$57-I57)/$H$57,1)/100</f>
        <v>0.34700000000000003</v>
      </c>
      <c r="J66" s="113">
        <f t="shared" si="30"/>
        <v>0.376</v>
      </c>
    </row>
    <row r="67" spans="1:10" x14ac:dyDescent="0.2">
      <c r="A67" s="163" t="s">
        <v>234</v>
      </c>
      <c r="B67" s="126">
        <f>B57/B25</f>
        <v>254.16666666666666</v>
      </c>
      <c r="C67" s="126">
        <f t="shared" ref="C67:J67" si="31">C57/C25</f>
        <v>160.25</v>
      </c>
      <c r="D67" s="126">
        <f t="shared" si="31"/>
        <v>106.75</v>
      </c>
      <c r="E67" s="126">
        <f t="shared" si="31"/>
        <v>128.57142857142858</v>
      </c>
      <c r="F67" s="126">
        <f t="shared" si="31"/>
        <v>73.428571428571431</v>
      </c>
      <c r="G67" s="126">
        <f t="shared" si="31"/>
        <v>64.571428571428569</v>
      </c>
      <c r="H67" s="126">
        <f t="shared" si="31"/>
        <v>70.833333333333329</v>
      </c>
      <c r="I67" s="126">
        <f t="shared" si="31"/>
        <v>46.25</v>
      </c>
      <c r="J67" s="126">
        <f t="shared" si="31"/>
        <v>44.166666666666664</v>
      </c>
    </row>
    <row r="68" spans="1:10" x14ac:dyDescent="0.2">
      <c r="D68" s="6"/>
      <c r="E68" s="6"/>
      <c r="I68" s="3"/>
      <c r="J68" s="51"/>
    </row>
    <row r="69" spans="1:10" x14ac:dyDescent="0.2">
      <c r="B69" s="57"/>
      <c r="C69" s="48" t="s">
        <v>46</v>
      </c>
      <c r="D69" s="48"/>
      <c r="E69" s="48"/>
      <c r="F69" s="58"/>
      <c r="G69" s="59" t="s">
        <v>47</v>
      </c>
      <c r="H69" s="48"/>
      <c r="I69" s="49"/>
    </row>
    <row r="70" spans="1:10" x14ac:dyDescent="0.2">
      <c r="B70" s="60"/>
      <c r="C70" t="s">
        <v>48</v>
      </c>
      <c r="F70" s="61"/>
      <c r="G70" s="51" t="s">
        <v>70</v>
      </c>
      <c r="I70" s="52"/>
    </row>
    <row r="71" spans="1:10" x14ac:dyDescent="0.2">
      <c r="B71" s="62"/>
      <c r="C71" t="s">
        <v>50</v>
      </c>
      <c r="F71" s="63"/>
      <c r="G71" t="s">
        <v>51</v>
      </c>
      <c r="I71" s="52"/>
    </row>
    <row r="72" spans="1:10" x14ac:dyDescent="0.2">
      <c r="B72" s="64"/>
      <c r="C72" s="55" t="s">
        <v>52</v>
      </c>
      <c r="D72" s="55"/>
      <c r="E72" s="55"/>
      <c r="F72" s="55"/>
      <c r="G72" s="55"/>
      <c r="H72" s="55"/>
      <c r="I72" s="56"/>
    </row>
    <row r="74" spans="1:10" x14ac:dyDescent="0.2">
      <c r="B74" s="46"/>
      <c r="C74" s="47" t="s">
        <v>55</v>
      </c>
      <c r="D74" s="48"/>
      <c r="E74" s="48"/>
      <c r="F74" s="49"/>
    </row>
    <row r="75" spans="1:10" x14ac:dyDescent="0.2">
      <c r="B75" s="50" t="s">
        <v>56</v>
      </c>
      <c r="C75" s="51" t="s">
        <v>58</v>
      </c>
      <c r="F75" s="52"/>
    </row>
    <row r="76" spans="1:10" x14ac:dyDescent="0.2">
      <c r="B76" s="53" t="s">
        <v>57</v>
      </c>
      <c r="C76" s="54" t="s">
        <v>59</v>
      </c>
      <c r="D76" s="55"/>
      <c r="E76" s="55"/>
      <c r="F76" s="56"/>
    </row>
    <row r="78" spans="1:10" x14ac:dyDescent="0.2">
      <c r="B78" t="s">
        <v>235</v>
      </c>
    </row>
    <row r="80" spans="1:10" x14ac:dyDescent="0.2">
      <c r="B80" s="165" t="s">
        <v>236</v>
      </c>
      <c r="C80" s="166" t="s">
        <v>236</v>
      </c>
      <c r="D80" s="167" t="s">
        <v>237</v>
      </c>
      <c r="E80" s="168" t="s">
        <v>237</v>
      </c>
      <c r="F80" s="169" t="s">
        <v>238</v>
      </c>
    </row>
    <row r="81" spans="2:6" x14ac:dyDescent="0.2">
      <c r="B81" s="162"/>
      <c r="C81" s="166" t="s">
        <v>239</v>
      </c>
      <c r="D81" s="167"/>
      <c r="E81" s="168" t="s">
        <v>240</v>
      </c>
      <c r="F81" s="164"/>
    </row>
  </sheetData>
  <sheetProtection algorithmName="SHA-512" hashValue="vSrZcGlWibtxGICiMsZpcQ7uhrppenm/VEdCNoaouuQUMY/essApv9h7vKUcg2vcE24NGA8vEcx43uI/RpgSCg==" saltValue="Y+3lMi9M6b8hLygHOYqrEg==" spinCount="100000" sheet="1" objects="1" scenarios="1" selectLockedCells="1" selectUnlockedCells="1"/>
  <phoneticPr fontId="0" type="noConversion"/>
  <conditionalFormatting sqref="B62">
    <cfRule type="expression" dxfId="51" priority="175" stopIfTrue="1">
      <formula>OR(IF(B$49&gt;0,B$62&lt;=10,B$62&gt;30),B$62&lt;0)</formula>
    </cfRule>
    <cfRule type="expression" dxfId="50" priority="176" stopIfTrue="1">
      <formula>B$49&lt;0</formula>
    </cfRule>
  </conditionalFormatting>
  <conditionalFormatting sqref="B63 E63 H63">
    <cfRule type="cellIs" dxfId="49" priority="46" stopIfTrue="1" operator="greaterThan">
      <formula>$B$63</formula>
    </cfRule>
    <cfRule type="cellIs" dxfId="48" priority="49" stopIfTrue="1" operator="lessThanOrEqual">
      <formula>2</formula>
    </cfRule>
  </conditionalFormatting>
  <conditionalFormatting sqref="B49:J49">
    <cfRule type="cellIs" dxfId="47" priority="39" operator="lessThan">
      <formula>0</formula>
    </cfRule>
    <cfRule type="cellIs" dxfId="46" priority="40" stopIfTrue="1" operator="lessThanOrEqual">
      <formula>5000</formula>
    </cfRule>
  </conditionalFormatting>
  <conditionalFormatting sqref="B60:J60">
    <cfRule type="cellIs" dxfId="45" priority="41" operator="greaterThan">
      <formula>$B$60</formula>
    </cfRule>
    <cfRule type="cellIs" dxfId="44" priority="58" stopIfTrue="1" operator="lessThanOrEqual">
      <formula>1500</formula>
    </cfRule>
  </conditionalFormatting>
  <conditionalFormatting sqref="B61:J61">
    <cfRule type="cellIs" dxfId="43" priority="31" stopIfTrue="1" operator="greaterThanOrEqual">
      <formula>5000</formula>
    </cfRule>
  </conditionalFormatting>
  <conditionalFormatting sqref="B64:J64 C66:D66 F66:G66 I66:J66">
    <cfRule type="cellIs" dxfId="42" priority="26" stopIfTrue="1" operator="greaterThanOrEqual">
      <formula>0.5</formula>
    </cfRule>
  </conditionalFormatting>
  <conditionalFormatting sqref="B67:J67">
    <cfRule type="cellIs" dxfId="41" priority="1" operator="greaterThan">
      <formula>220</formula>
    </cfRule>
    <cfRule type="cellIs" dxfId="40" priority="2" operator="between">
      <formula>180</formula>
      <formula>220</formula>
    </cfRule>
    <cfRule type="cellIs" dxfId="39" priority="3" operator="between">
      <formula>100</formula>
      <formula>180</formula>
    </cfRule>
    <cfRule type="cellIs" dxfId="38" priority="4" operator="between">
      <formula>80</formula>
      <formula>100</formula>
    </cfRule>
    <cfRule type="cellIs" dxfId="37" priority="5" operator="lessThan">
      <formula>80</formula>
    </cfRule>
  </conditionalFormatting>
  <conditionalFormatting sqref="C62:D62 F62:G62 I62:J62">
    <cfRule type="expression" dxfId="36" priority="181">
      <formula>OR(IF(C$48&gt;0,C$62&lt;=10,C$62&gt;30),C$62="sofort")</formula>
    </cfRule>
    <cfRule type="expression" dxfId="35" priority="182" stopIfTrue="1">
      <formula>C$49&lt;0</formula>
    </cfRule>
  </conditionalFormatting>
  <conditionalFormatting sqref="C63:D63 F63:G63">
    <cfRule type="cellIs" dxfId="34" priority="27" operator="lessThanOrEqual">
      <formula>2</formula>
    </cfRule>
    <cfRule type="cellIs" dxfId="33" priority="28" operator="greaterThan">
      <formula>$B$63</formula>
    </cfRule>
  </conditionalFormatting>
  <conditionalFormatting sqref="C65:D65 F65:G65 I65:J65 B65:B66 E65:E66 H65:H66">
    <cfRule type="cellIs" dxfId="32" priority="44" stopIfTrue="1" operator="greaterThanOrEqual">
      <formula>0.5</formula>
    </cfRule>
  </conditionalFormatting>
  <conditionalFormatting sqref="E62">
    <cfRule type="expression" dxfId="31" priority="183">
      <formula>OR(IF(E$49&gt;0,E$62&lt;=10,E$62&gt;30),E$64="sofort")</formula>
    </cfRule>
    <cfRule type="expression" dxfId="30" priority="184" stopIfTrue="1">
      <formula>E$49&lt;0</formula>
    </cfRule>
  </conditionalFormatting>
  <conditionalFormatting sqref="I63:J63">
    <cfRule type="cellIs" dxfId="29" priority="6" operator="lessThanOrEqual">
      <formula>2</formula>
    </cfRule>
    <cfRule type="cellIs" dxfId="28" priority="7" operator="greaterThan">
      <formula>$B$63</formula>
    </cfRule>
  </conditionalFormatting>
  <pageMargins left="0.39370078740157483" right="0.39370078740157483" top="0.98425196850393704" bottom="0.98425196850393704" header="0.51181102362204722" footer="0.51181102362204722"/>
  <pageSetup paperSize="9" scale="47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L95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2" width="17.7109375" customWidth="1"/>
  </cols>
  <sheetData>
    <row r="1" spans="1:38" s="2" customFormat="1" ht="23.25" x14ac:dyDescent="0.35">
      <c r="A1" s="7" t="s">
        <v>207</v>
      </c>
      <c r="B1" s="2" t="s">
        <v>206</v>
      </c>
    </row>
    <row r="2" spans="1:38" s="2" customFormat="1" ht="23.25" x14ac:dyDescent="0.35">
      <c r="A2" s="7"/>
      <c r="B2" s="65" t="s">
        <v>230</v>
      </c>
    </row>
    <row r="3" spans="1:38" s="2" customFormat="1" ht="23.25" x14ac:dyDescent="0.35">
      <c r="A3" s="7"/>
      <c r="B3" s="51" t="s">
        <v>226</v>
      </c>
      <c r="C3"/>
      <c r="D3"/>
      <c r="E3"/>
      <c r="F3"/>
    </row>
    <row r="4" spans="1:38" s="2" customFormat="1" ht="24.95" customHeight="1" x14ac:dyDescent="0.35">
      <c r="A4" s="7"/>
      <c r="B4" s="94" t="s">
        <v>229</v>
      </c>
      <c r="C4" s="95"/>
      <c r="D4" s="95"/>
      <c r="E4" s="95"/>
      <c r="F4" s="95"/>
      <c r="M4" s="100"/>
      <c r="N4" s="100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4" t="s">
        <v>34</v>
      </c>
      <c r="I5" s="71"/>
      <c r="J5" s="11"/>
      <c r="K5" s="11"/>
      <c r="L5" s="11"/>
      <c r="M5" s="11"/>
      <c r="N5" s="12"/>
      <c r="O5" s="81"/>
      <c r="P5" s="81"/>
    </row>
    <row r="6" spans="1:38" x14ac:dyDescent="0.2">
      <c r="A6" s="17" t="s">
        <v>53</v>
      </c>
      <c r="B6" s="67">
        <v>2500</v>
      </c>
      <c r="C6" s="68" t="s">
        <v>54</v>
      </c>
      <c r="D6" s="69" t="str">
        <f>IF(OR((B6&lt;0),(B6&gt;100000)),"Wert prüfen","gültiger Wert")</f>
        <v>gültiger Wert</v>
      </c>
      <c r="E6" s="9"/>
      <c r="F6" s="9"/>
      <c r="G6" s="9"/>
      <c r="H6" s="76">
        <v>2500</v>
      </c>
      <c r="I6" s="71" t="s">
        <v>54</v>
      </c>
      <c r="J6" s="9"/>
      <c r="K6" s="9"/>
      <c r="L6" s="9"/>
      <c r="M6" s="9"/>
      <c r="N6" s="14"/>
      <c r="O6" s="81"/>
      <c r="P6" s="81"/>
    </row>
    <row r="7" spans="1:38" x14ac:dyDescent="0.2">
      <c r="A7" s="17" t="s">
        <v>71</v>
      </c>
      <c r="B7" s="67">
        <v>0</v>
      </c>
      <c r="C7" s="68" t="s">
        <v>68</v>
      </c>
      <c r="D7" s="69" t="str">
        <f>IF(OR((B7&lt;0),(B7&gt;1000000)),"Wert prüfen","gültiger Wert")</f>
        <v>gültiger Wert</v>
      </c>
      <c r="E7" s="9"/>
      <c r="F7" s="9"/>
      <c r="G7" s="9"/>
      <c r="H7" s="76">
        <v>0</v>
      </c>
      <c r="I7" s="71" t="s">
        <v>68</v>
      </c>
      <c r="J7" s="9"/>
      <c r="K7" s="9"/>
      <c r="L7" s="9"/>
      <c r="M7" s="9"/>
      <c r="N7" s="14"/>
      <c r="O7" s="81"/>
      <c r="P7" s="81"/>
    </row>
    <row r="8" spans="1:38" x14ac:dyDescent="0.2">
      <c r="A8" s="17" t="s">
        <v>74</v>
      </c>
      <c r="B8" s="67">
        <v>0</v>
      </c>
      <c r="C8" s="68" t="s">
        <v>77</v>
      </c>
      <c r="D8" s="69" t="str">
        <f>IF(OR((B8&lt;0),(B8&gt;100000)),"Wert prüfen","gültiger Wert")</f>
        <v>gültiger Wert</v>
      </c>
      <c r="E8" s="9"/>
      <c r="F8" s="9"/>
      <c r="G8" s="9"/>
      <c r="H8" s="76">
        <v>0</v>
      </c>
      <c r="I8" s="71" t="s">
        <v>68</v>
      </c>
      <c r="J8" s="9"/>
      <c r="K8" s="9"/>
      <c r="L8" s="9"/>
      <c r="M8" s="9"/>
      <c r="N8" s="14"/>
      <c r="O8" s="81"/>
      <c r="P8" s="81"/>
    </row>
    <row r="9" spans="1:38" x14ac:dyDescent="0.2">
      <c r="A9" s="17" t="s">
        <v>75</v>
      </c>
      <c r="B9" s="67">
        <v>0</v>
      </c>
      <c r="C9" s="68" t="s">
        <v>78</v>
      </c>
      <c r="D9" s="69" t="str">
        <f>IF(OR((B9&lt;0),(B9&gt;100000)),"Wert prüfen","gültiger Wert")</f>
        <v>gültiger Wert</v>
      </c>
      <c r="E9" s="9"/>
      <c r="F9" s="9"/>
      <c r="G9" s="9"/>
      <c r="H9" s="76">
        <v>0</v>
      </c>
      <c r="I9" s="71" t="s">
        <v>68</v>
      </c>
      <c r="J9" s="9"/>
      <c r="K9" s="9"/>
      <c r="L9" s="9"/>
      <c r="M9" s="9"/>
      <c r="N9" s="14"/>
      <c r="O9" s="81"/>
      <c r="P9" s="81"/>
    </row>
    <row r="10" spans="1:38" x14ac:dyDescent="0.2">
      <c r="A10" s="17" t="s">
        <v>76</v>
      </c>
      <c r="B10" s="67">
        <v>0</v>
      </c>
      <c r="C10" s="68" t="s">
        <v>68</v>
      </c>
      <c r="D10" s="69" t="str">
        <f>IF(OR((B10&lt;0),(B10&gt;1000000)),"Wert prüfen","gültiger Wert")</f>
        <v>gültiger Wert</v>
      </c>
      <c r="E10" s="9"/>
      <c r="F10" s="9"/>
      <c r="G10" s="9"/>
      <c r="H10" s="76">
        <v>0</v>
      </c>
      <c r="I10" s="71" t="s">
        <v>68</v>
      </c>
      <c r="J10" s="9"/>
      <c r="K10" s="9"/>
      <c r="L10" s="9"/>
      <c r="M10" s="9"/>
      <c r="N10" s="14"/>
      <c r="O10" s="81"/>
      <c r="P10" s="81"/>
    </row>
    <row r="11" spans="1:38" x14ac:dyDescent="0.2">
      <c r="A11" s="17" t="s">
        <v>72</v>
      </c>
      <c r="B11" s="67">
        <v>4600</v>
      </c>
      <c r="C11" s="68" t="s">
        <v>68</v>
      </c>
      <c r="D11" s="69" t="str">
        <f>IF(OR((B11&lt;0),(B11&gt;100000)),"Wert prüfen","gültiger Wert")</f>
        <v>gültiger Wert</v>
      </c>
      <c r="E11" s="9"/>
      <c r="F11" s="9"/>
      <c r="G11" s="9"/>
      <c r="H11" s="76">
        <v>4600</v>
      </c>
      <c r="I11" s="71" t="s">
        <v>68</v>
      </c>
      <c r="J11" s="17" t="s">
        <v>29</v>
      </c>
      <c r="K11" s="18"/>
      <c r="L11" s="19"/>
      <c r="M11" s="74" t="s">
        <v>34</v>
      </c>
      <c r="N11" s="71"/>
      <c r="O11" s="81"/>
      <c r="P11" s="81"/>
    </row>
    <row r="12" spans="1:38" x14ac:dyDescent="0.2">
      <c r="A12" s="17" t="s">
        <v>73</v>
      </c>
      <c r="B12" s="67">
        <v>3000</v>
      </c>
      <c r="C12" s="68" t="s">
        <v>68</v>
      </c>
      <c r="D12" s="69" t="str">
        <f>IF(OR((B12&lt;0),(B12&gt;100000)),"Wert prüfen","gültiger Wert")</f>
        <v>gültiger Wert</v>
      </c>
      <c r="E12" s="9"/>
      <c r="F12" s="9"/>
      <c r="G12" s="9"/>
      <c r="H12" s="76">
        <v>3000</v>
      </c>
      <c r="I12" s="71" t="s">
        <v>68</v>
      </c>
      <c r="J12" s="20" t="s">
        <v>40</v>
      </c>
      <c r="K12" s="73">
        <v>0.31</v>
      </c>
      <c r="L12" s="19" t="s">
        <v>33</v>
      </c>
      <c r="M12" s="98">
        <v>0.31</v>
      </c>
      <c r="N12" s="71" t="s">
        <v>33</v>
      </c>
      <c r="O12" s="81"/>
      <c r="P12" s="81"/>
    </row>
    <row r="13" spans="1:38" x14ac:dyDescent="0.2">
      <c r="A13" s="17" t="s">
        <v>85</v>
      </c>
      <c r="B13" s="70">
        <v>0.8</v>
      </c>
      <c r="C13" s="68"/>
      <c r="D13" s="69" t="str">
        <f>IF(OR((B13&lt;0.5),(B13&gt;1)),"Wert außerhalb","gültiger Wert")</f>
        <v>gültiger Wert</v>
      </c>
      <c r="E13" s="9"/>
      <c r="F13" s="9"/>
      <c r="G13" s="9"/>
      <c r="H13" s="75">
        <v>0.8</v>
      </c>
      <c r="I13" s="71"/>
      <c r="J13" s="20" t="s">
        <v>30</v>
      </c>
      <c r="K13" s="73">
        <v>0.24</v>
      </c>
      <c r="L13" s="19" t="s">
        <v>33</v>
      </c>
      <c r="M13" s="98">
        <v>0.24</v>
      </c>
      <c r="N13" s="71" t="s">
        <v>33</v>
      </c>
      <c r="O13" s="81"/>
      <c r="P13" s="81"/>
    </row>
    <row r="14" spans="1:38" x14ac:dyDescent="0.2">
      <c r="A14" s="17" t="s">
        <v>39</v>
      </c>
      <c r="B14" s="66">
        <v>1.4</v>
      </c>
      <c r="C14" s="69" t="s">
        <v>86</v>
      </c>
      <c r="D14" s="69" t="str">
        <f>IF(OR((B14&lt;0),(B14&gt;10)),"Wert prüfen","gültiger Wert")</f>
        <v>gültiger Wert</v>
      </c>
      <c r="E14" s="9"/>
      <c r="F14" s="9"/>
      <c r="G14" s="9"/>
      <c r="H14" s="91" t="s">
        <v>81</v>
      </c>
      <c r="I14" s="71"/>
      <c r="J14" s="20" t="s">
        <v>22</v>
      </c>
      <c r="K14" s="73">
        <v>0.56000000000000005</v>
      </c>
      <c r="L14" s="19" t="s">
        <v>33</v>
      </c>
      <c r="M14" s="98">
        <v>0.56000000000000005</v>
      </c>
      <c r="N14" s="71" t="s">
        <v>33</v>
      </c>
      <c r="O14" s="81"/>
      <c r="P14" s="81"/>
    </row>
    <row r="15" spans="1:38" x14ac:dyDescent="0.2">
      <c r="A15" s="17" t="s">
        <v>19</v>
      </c>
      <c r="B15" s="66">
        <v>12</v>
      </c>
      <c r="C15" s="69" t="s">
        <v>21</v>
      </c>
      <c r="D15" s="69" t="str">
        <f>IF(OR((B15&lt;3),(B15&gt;100)),"Wert prüfen","gültiger Wert")</f>
        <v>gültiger Wert</v>
      </c>
      <c r="E15" s="9"/>
      <c r="F15" s="9"/>
      <c r="G15" s="9"/>
      <c r="H15" s="91" t="s">
        <v>82</v>
      </c>
      <c r="I15" s="71"/>
      <c r="J15" s="20" t="s">
        <v>31</v>
      </c>
      <c r="K15" s="73">
        <v>0.02</v>
      </c>
      <c r="L15" s="19" t="s">
        <v>33</v>
      </c>
      <c r="M15" s="98">
        <v>0.02</v>
      </c>
      <c r="N15" s="71" t="s">
        <v>33</v>
      </c>
      <c r="O15" s="81"/>
      <c r="P15" s="81"/>
    </row>
    <row r="16" spans="1:38" x14ac:dyDescent="0.2">
      <c r="A16" s="17" t="s">
        <v>23</v>
      </c>
      <c r="B16" s="67">
        <v>100</v>
      </c>
      <c r="C16" s="69" t="s">
        <v>25</v>
      </c>
      <c r="D16" s="20" t="str">
        <f>IF(OR((B16&lt;10),(B16&gt;1000)),"Wert prüfen","gültiger Wert")</f>
        <v>gültiger Wert</v>
      </c>
      <c r="E16" s="90">
        <v>1880</v>
      </c>
      <c r="F16" s="18" t="s">
        <v>27</v>
      </c>
      <c r="G16" s="105">
        <f>B16/E16*100</f>
        <v>5.3191489361702127</v>
      </c>
      <c r="H16" s="75">
        <v>100</v>
      </c>
      <c r="I16" s="103" t="s">
        <v>25</v>
      </c>
      <c r="J16" s="20" t="s">
        <v>32</v>
      </c>
      <c r="K16" s="73">
        <v>4.1000000000000002E-2</v>
      </c>
      <c r="L16" s="19" t="s">
        <v>33</v>
      </c>
      <c r="M16" s="98">
        <v>4.1000000000000002E-2</v>
      </c>
      <c r="N16" s="71" t="s">
        <v>33</v>
      </c>
      <c r="O16" s="4"/>
      <c r="P16" s="5"/>
      <c r="Q16" s="4"/>
      <c r="R16" s="5"/>
      <c r="S16" s="4"/>
      <c r="T16" s="4"/>
      <c r="AK16" s="81"/>
      <c r="AL16" s="81"/>
    </row>
    <row r="17" spans="1:38" x14ac:dyDescent="0.2">
      <c r="A17" s="17" t="s">
        <v>24</v>
      </c>
      <c r="B17" s="67">
        <v>400</v>
      </c>
      <c r="C17" s="69" t="s">
        <v>26</v>
      </c>
      <c r="D17" s="20" t="str">
        <f>IF(OR((B17&lt;150),(B17&gt;1000)),"Wert prüfen","gültiger Wert")</f>
        <v>gültiger Wert</v>
      </c>
      <c r="E17" s="90">
        <v>5400</v>
      </c>
      <c r="F17" s="104" t="s">
        <v>28</v>
      </c>
      <c r="G17" s="105">
        <f>B17/E17*100</f>
        <v>7.4074074074074066</v>
      </c>
      <c r="H17" s="75">
        <v>400</v>
      </c>
      <c r="I17" s="103" t="s">
        <v>26</v>
      </c>
      <c r="J17" s="10"/>
      <c r="K17" s="9"/>
      <c r="L17" s="9"/>
      <c r="M17" s="96"/>
      <c r="N17" s="97"/>
      <c r="O17" s="4"/>
      <c r="P17" s="5"/>
      <c r="Q17" s="4"/>
      <c r="R17" s="5"/>
      <c r="S17" s="4"/>
      <c r="T17" s="4"/>
      <c r="AK17" s="81"/>
      <c r="AL17" s="81"/>
    </row>
    <row r="18" spans="1:38" x14ac:dyDescent="0.2">
      <c r="A18" s="17" t="s">
        <v>20</v>
      </c>
      <c r="B18" s="66">
        <v>40</v>
      </c>
      <c r="C18" s="69" t="s">
        <v>21</v>
      </c>
      <c r="D18" s="69" t="str">
        <f>IF(OR((B18&lt;10),(B18&gt;200)),"Wert prüfen","gültiger Wert")</f>
        <v>gültiger Wert</v>
      </c>
      <c r="E18" s="9"/>
      <c r="F18" s="9"/>
      <c r="G18" s="9"/>
      <c r="H18" s="91" t="s">
        <v>83</v>
      </c>
      <c r="I18" s="71"/>
      <c r="J18" s="9"/>
      <c r="K18" s="9"/>
      <c r="L18" s="9"/>
      <c r="M18" s="96"/>
      <c r="N18" s="97"/>
      <c r="O18" s="81"/>
      <c r="P18" s="81"/>
    </row>
    <row r="19" spans="1:38" x14ac:dyDescent="0.2">
      <c r="A19" s="17" t="s">
        <v>79</v>
      </c>
      <c r="B19" s="66">
        <v>28</v>
      </c>
      <c r="C19" s="69" t="s">
        <v>21</v>
      </c>
      <c r="D19" s="69" t="str">
        <f>IF(OR((B19&lt;10),(B19&gt;200)),"Wert prüfen","gültiger Wert")</f>
        <v>gültiger Wert</v>
      </c>
      <c r="E19" s="9"/>
      <c r="F19" s="9"/>
      <c r="G19" s="9"/>
      <c r="H19" s="91">
        <v>28</v>
      </c>
      <c r="I19" s="71" t="s">
        <v>155</v>
      </c>
      <c r="J19" s="9"/>
      <c r="K19" s="9"/>
      <c r="L19" s="9"/>
      <c r="M19" s="96"/>
      <c r="N19" s="97"/>
      <c r="O19" s="81"/>
      <c r="P19" s="81"/>
    </row>
    <row r="20" spans="1:38" x14ac:dyDescent="0.2">
      <c r="A20" s="17" t="s">
        <v>156</v>
      </c>
      <c r="B20" s="66">
        <v>28</v>
      </c>
      <c r="C20" s="69" t="s">
        <v>21</v>
      </c>
      <c r="D20" s="69" t="str">
        <f>IF(OR((B20&lt;10),(B20&gt;200)),"Wert prüfen","gültiger Wert")</f>
        <v>gültiger Wert</v>
      </c>
      <c r="E20" s="9"/>
      <c r="F20" s="9"/>
      <c r="G20" s="9"/>
      <c r="H20" s="91">
        <v>28</v>
      </c>
      <c r="I20" s="71" t="s">
        <v>155</v>
      </c>
      <c r="J20" s="9"/>
      <c r="K20" s="9"/>
      <c r="L20" s="9"/>
      <c r="M20" s="96"/>
      <c r="N20" s="97"/>
      <c r="O20" s="81"/>
      <c r="P20" s="81"/>
    </row>
    <row r="21" spans="1:38" x14ac:dyDescent="0.2">
      <c r="A21" s="17" t="s">
        <v>102</v>
      </c>
      <c r="B21" s="67">
        <v>1000</v>
      </c>
      <c r="C21" s="111" t="s">
        <v>103</v>
      </c>
      <c r="D21" s="69" t="str">
        <f>IF(OR((B21&lt;500),(B21&gt;1500)),"Wert außerhalb","gültiger Wert")</f>
        <v>gültiger Wert</v>
      </c>
      <c r="E21" s="13"/>
      <c r="F21" s="9"/>
      <c r="G21" s="14"/>
      <c r="H21" s="91">
        <v>1000</v>
      </c>
      <c r="I21" s="71" t="s">
        <v>103</v>
      </c>
      <c r="J21" s="13"/>
      <c r="K21" s="9"/>
      <c r="L21" s="9"/>
      <c r="M21" s="9"/>
      <c r="N21" s="14"/>
      <c r="O21" s="81"/>
      <c r="P21" s="81"/>
    </row>
    <row r="22" spans="1:38" x14ac:dyDescent="0.2">
      <c r="A22" s="17" t="s">
        <v>232</v>
      </c>
      <c r="B22" s="67">
        <v>120</v>
      </c>
      <c r="C22" s="111" t="s">
        <v>233</v>
      </c>
      <c r="D22" s="69" t="str">
        <f>IF(OR((B22&lt;10),(B22&gt;1000)),"Wert außerhalb","gültiger Wert")</f>
        <v>gültiger Wert</v>
      </c>
      <c r="E22" s="9"/>
      <c r="F22" s="9"/>
      <c r="G22" s="9"/>
      <c r="H22" s="91">
        <v>120</v>
      </c>
      <c r="I22" s="71" t="s">
        <v>233</v>
      </c>
      <c r="J22" s="13"/>
      <c r="K22" s="9"/>
      <c r="L22" s="9"/>
      <c r="M22" s="9"/>
      <c r="N22" s="14"/>
      <c r="O22" s="81"/>
      <c r="P22" s="81"/>
    </row>
    <row r="23" spans="1:38" x14ac:dyDescent="0.2">
      <c r="A23" s="17" t="s">
        <v>14</v>
      </c>
      <c r="B23" s="67">
        <v>4000</v>
      </c>
      <c r="C23" s="69" t="s">
        <v>15</v>
      </c>
      <c r="D23" s="69" t="str">
        <f>IF(OR((B23&lt;1000),(B23&gt;10000)),"Wert prüfen","gültiger Wert")</f>
        <v>gültiger Wert</v>
      </c>
      <c r="E23" s="9"/>
      <c r="F23" s="9"/>
      <c r="G23" s="9"/>
      <c r="H23" s="76" t="s">
        <v>84</v>
      </c>
      <c r="I23" s="71"/>
      <c r="J23" s="13"/>
      <c r="K23" s="9"/>
      <c r="L23" s="9"/>
      <c r="M23" s="9"/>
      <c r="N23" s="14"/>
      <c r="O23" s="81"/>
      <c r="P23" s="81"/>
    </row>
    <row r="24" spans="1:38" x14ac:dyDescent="0.2">
      <c r="A24" s="108" t="s">
        <v>87</v>
      </c>
      <c r="B24" s="161" t="s">
        <v>88</v>
      </c>
      <c r="C24" s="68" t="s">
        <v>89</v>
      </c>
      <c r="D24" s="69" t="str">
        <f>IF(OR(B24="n",B24="a"),"gültiger Wert","Fehleingabe")</f>
        <v>gültiger Wert</v>
      </c>
      <c r="E24" s="15"/>
      <c r="F24" s="15"/>
      <c r="G24" s="15"/>
      <c r="H24" s="109" t="s">
        <v>88</v>
      </c>
      <c r="I24" s="71"/>
      <c r="J24" s="106"/>
      <c r="K24" s="15"/>
      <c r="L24" s="15"/>
      <c r="M24" s="15"/>
      <c r="N24" s="16"/>
      <c r="O24" s="81"/>
      <c r="P24" s="81"/>
    </row>
    <row r="25" spans="1:38" x14ac:dyDescent="0.2">
      <c r="B25" s="3"/>
      <c r="C25" s="3"/>
      <c r="D25" s="6"/>
      <c r="E25" s="6"/>
      <c r="F25" s="3"/>
      <c r="G25" s="3"/>
      <c r="H25" s="3"/>
      <c r="I25" s="3"/>
      <c r="J25" s="6"/>
      <c r="K25" s="6"/>
      <c r="L25" s="5"/>
      <c r="M25" s="81"/>
      <c r="N25" s="81"/>
    </row>
    <row r="26" spans="1:38" x14ac:dyDescent="0.2">
      <c r="B26" s="3"/>
      <c r="C26" s="3"/>
      <c r="D26" s="6"/>
      <c r="E26" s="6"/>
      <c r="F26" s="3"/>
      <c r="G26" s="3"/>
      <c r="H26" s="3"/>
      <c r="I26" s="3"/>
      <c r="J26" s="6"/>
    </row>
    <row r="27" spans="1:38" x14ac:dyDescent="0.2">
      <c r="A27" s="23" t="s">
        <v>0</v>
      </c>
      <c r="B27" s="24" t="s">
        <v>35</v>
      </c>
      <c r="C27" s="26" t="s">
        <v>208</v>
      </c>
      <c r="D27" s="26" t="s">
        <v>212</v>
      </c>
    </row>
    <row r="28" spans="1:38" x14ac:dyDescent="0.2">
      <c r="A28" s="21"/>
      <c r="B28" s="21"/>
      <c r="C28" s="21" t="s">
        <v>209</v>
      </c>
      <c r="D28" s="21" t="s">
        <v>213</v>
      </c>
    </row>
    <row r="29" spans="1:38" x14ac:dyDescent="0.2">
      <c r="A29" s="21"/>
      <c r="B29" s="21"/>
      <c r="C29" s="21" t="s">
        <v>210</v>
      </c>
      <c r="D29" s="21" t="s">
        <v>154</v>
      </c>
    </row>
    <row r="30" spans="1:38" s="1" customFormat="1" x14ac:dyDescent="0.2">
      <c r="A30" s="21"/>
      <c r="B30" s="21"/>
      <c r="C30" s="21" t="s">
        <v>211</v>
      </c>
      <c r="D30" s="21"/>
      <c r="E30"/>
    </row>
    <row r="31" spans="1:38" s="1" customFormat="1" x14ac:dyDescent="0.2">
      <c r="A31" s="21"/>
      <c r="B31" s="21"/>
      <c r="C31" s="21" t="s">
        <v>154</v>
      </c>
      <c r="D31" s="21"/>
    </row>
    <row r="32" spans="1:38" s="1" customFormat="1" x14ac:dyDescent="0.2">
      <c r="A32" s="27"/>
      <c r="B32" s="27"/>
      <c r="C32" s="27"/>
      <c r="D32" s="27"/>
    </row>
    <row r="33" spans="1:33" s="1" customFormat="1" x14ac:dyDescent="0.2">
      <c r="A33" s="21"/>
      <c r="B33" s="21"/>
      <c r="C33" s="21"/>
      <c r="D33" s="21"/>
    </row>
    <row r="34" spans="1:33" s="1" customFormat="1" x14ac:dyDescent="0.2">
      <c r="A34" s="141" t="s">
        <v>214</v>
      </c>
      <c r="B34" s="141"/>
      <c r="C34" s="143">
        <f>Berechnung!G142</f>
        <v>15.9</v>
      </c>
      <c r="D34" s="143">
        <f>C34</f>
        <v>15.9</v>
      </c>
    </row>
    <row r="35" spans="1:33" s="1" customFormat="1" x14ac:dyDescent="0.2">
      <c r="A35" s="141" t="s">
        <v>198</v>
      </c>
      <c r="B35" s="141"/>
      <c r="C35" s="143">
        <f>Berechnung!G143</f>
        <v>10.600000000000001</v>
      </c>
      <c r="D35" s="143">
        <f>Berechnung!K143</f>
        <v>10.600000000000001</v>
      </c>
    </row>
    <row r="36" spans="1:33" s="1" customFormat="1" x14ac:dyDescent="0.2">
      <c r="A36" s="36" t="s">
        <v>196</v>
      </c>
      <c r="B36" s="83"/>
      <c r="C36" s="134">
        <v>3.8</v>
      </c>
      <c r="D36" s="134">
        <v>3.8</v>
      </c>
    </row>
    <row r="37" spans="1:33" s="1" customFormat="1" x14ac:dyDescent="0.2">
      <c r="A37" s="36" t="s">
        <v>90</v>
      </c>
      <c r="B37" s="38"/>
      <c r="C37" s="110">
        <v>55</v>
      </c>
      <c r="D37" s="110">
        <v>55</v>
      </c>
    </row>
    <row r="38" spans="1:33" s="1" customFormat="1" x14ac:dyDescent="0.2">
      <c r="A38" s="36" t="s">
        <v>216</v>
      </c>
      <c r="B38" s="83"/>
      <c r="C38" s="150">
        <v>0.8</v>
      </c>
      <c r="D38" s="150">
        <v>0.8</v>
      </c>
    </row>
    <row r="39" spans="1:33" s="1" customFormat="1" x14ac:dyDescent="0.2">
      <c r="A39" s="36"/>
      <c r="B39" s="83"/>
      <c r="C39" s="83"/>
      <c r="D39" s="83"/>
    </row>
    <row r="40" spans="1:33" s="1" customFormat="1" x14ac:dyDescent="0.2">
      <c r="A40" s="82" t="s">
        <v>7</v>
      </c>
      <c r="B40" s="38"/>
      <c r="C40" s="84">
        <v>35000</v>
      </c>
      <c r="D40" s="84">
        <v>40000</v>
      </c>
    </row>
    <row r="41" spans="1:33" s="1" customFormat="1" x14ac:dyDescent="0.2">
      <c r="A41" s="36" t="s">
        <v>38</v>
      </c>
      <c r="B41" s="38"/>
      <c r="C41" s="84"/>
      <c r="D41" s="84">
        <v>-9330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s="1" customFormat="1" x14ac:dyDescent="0.2">
      <c r="A42" s="36" t="s">
        <v>36</v>
      </c>
      <c r="B42" s="38"/>
      <c r="C42" s="38"/>
      <c r="D42" s="38"/>
      <c r="E42" s="3"/>
    </row>
    <row r="43" spans="1:33" s="1" customFormat="1" x14ac:dyDescent="0.2">
      <c r="A43" s="36" t="s">
        <v>37</v>
      </c>
      <c r="B43" s="38"/>
      <c r="C43" s="84"/>
      <c r="D43" s="84">
        <v>2000</v>
      </c>
    </row>
    <row r="44" spans="1:33" s="1" customFormat="1" x14ac:dyDescent="0.2">
      <c r="A44" s="36" t="s">
        <v>6</v>
      </c>
      <c r="B44" s="38"/>
      <c r="C44" s="38"/>
      <c r="D44" s="38"/>
    </row>
    <row r="45" spans="1:33" s="1" customFormat="1" x14ac:dyDescent="0.2">
      <c r="A45" s="36" t="s">
        <v>11</v>
      </c>
      <c r="B45" s="38"/>
      <c r="C45" s="38"/>
      <c r="D45" s="38"/>
    </row>
    <row r="46" spans="1:33" s="1" customFormat="1" x14ac:dyDescent="0.2">
      <c r="A46" s="36" t="s">
        <v>8</v>
      </c>
      <c r="B46" s="38"/>
      <c r="C46" s="38"/>
      <c r="D46" s="84">
        <v>1000</v>
      </c>
    </row>
    <row r="47" spans="1:33" s="1" customFormat="1" x14ac:dyDescent="0.2">
      <c r="A47" s="36" t="s">
        <v>9</v>
      </c>
      <c r="B47" s="38"/>
      <c r="C47" s="38"/>
      <c r="D47" s="38"/>
    </row>
    <row r="48" spans="1:33" s="1" customFormat="1" x14ac:dyDescent="0.2">
      <c r="A48" s="36" t="s">
        <v>10</v>
      </c>
      <c r="B48" s="38"/>
      <c r="C48" s="84"/>
      <c r="D48" s="84"/>
    </row>
    <row r="49" spans="1:5" s="1" customFormat="1" x14ac:dyDescent="0.2">
      <c r="A49" s="85" t="s">
        <v>12</v>
      </c>
      <c r="B49" s="86"/>
      <c r="C49" s="86"/>
      <c r="D49" s="86"/>
    </row>
    <row r="50" spans="1:5" s="1" customFormat="1" x14ac:dyDescent="0.2">
      <c r="A50" s="28" t="s">
        <v>1</v>
      </c>
      <c r="B50" s="29">
        <f>SUM(B40:B49)</f>
        <v>0</v>
      </c>
      <c r="C50" s="29">
        <f>SUM(C40:C49)</f>
        <v>35000</v>
      </c>
      <c r="D50" s="29">
        <f>SUM(D40:D49)</f>
        <v>33670</v>
      </c>
    </row>
    <row r="51" spans="1:5" s="1" customFormat="1" x14ac:dyDescent="0.2">
      <c r="A51" s="23" t="s">
        <v>227</v>
      </c>
      <c r="B51" s="92"/>
      <c r="C51" s="84">
        <v>30000</v>
      </c>
      <c r="D51" s="84">
        <v>30000</v>
      </c>
    </row>
    <row r="52" spans="1:5" s="1" customFormat="1" x14ac:dyDescent="0.2">
      <c r="A52" s="23" t="s">
        <v>228</v>
      </c>
      <c r="B52" s="92"/>
      <c r="C52" s="150">
        <v>0.6</v>
      </c>
      <c r="D52" s="150">
        <v>0.7</v>
      </c>
    </row>
    <row r="53" spans="1:5" s="1" customFormat="1" x14ac:dyDescent="0.2">
      <c r="A53" s="23" t="s">
        <v>61</v>
      </c>
      <c r="B53" s="92"/>
      <c r="C53" s="92">
        <f>IF($B$24="a",IF(C40+C43+C48&gt;C51,C51,C40+C43+C48),0)</f>
        <v>30000</v>
      </c>
      <c r="D53" s="92">
        <f>IF($B$24="a",IF(D40+D43+D48+D46&gt;D51,D51,D40+D43+D48+D46),0)</f>
        <v>30000</v>
      </c>
    </row>
    <row r="54" spans="1:5" x14ac:dyDescent="0.2">
      <c r="A54" s="23" t="s">
        <v>62</v>
      </c>
      <c r="B54" s="92"/>
      <c r="C54" s="92">
        <f>C51*C52</f>
        <v>18000</v>
      </c>
      <c r="D54" s="92">
        <f>D51*D52</f>
        <v>21000</v>
      </c>
      <c r="E54" s="1"/>
    </row>
    <row r="55" spans="1:5" x14ac:dyDescent="0.2">
      <c r="A55" s="23" t="s">
        <v>64</v>
      </c>
      <c r="B55" s="92"/>
      <c r="C55" s="92"/>
      <c r="D55" s="92"/>
    </row>
    <row r="56" spans="1:5" x14ac:dyDescent="0.2">
      <c r="A56" s="23" t="s">
        <v>65</v>
      </c>
      <c r="B56" s="92"/>
      <c r="C56" s="79"/>
      <c r="D56" s="79"/>
    </row>
    <row r="57" spans="1:5" x14ac:dyDescent="0.2">
      <c r="A57" s="34" t="s">
        <v>5</v>
      </c>
      <c r="B57" s="78">
        <f>B54+B55+B56</f>
        <v>0</v>
      </c>
      <c r="C57" s="78">
        <f t="shared" ref="C57:D57" si="0">C54+C55+C56</f>
        <v>18000</v>
      </c>
      <c r="D57" s="78">
        <f t="shared" si="0"/>
        <v>21000</v>
      </c>
    </row>
    <row r="58" spans="1:5" x14ac:dyDescent="0.2">
      <c r="A58" s="21" t="s">
        <v>13</v>
      </c>
      <c r="B58" s="22">
        <f t="shared" ref="B58" si="1">B50-B57</f>
        <v>0</v>
      </c>
      <c r="C58" s="22">
        <f t="shared" ref="C58:D58" si="2">C50-C57</f>
        <v>17000</v>
      </c>
      <c r="D58" s="22">
        <f t="shared" si="2"/>
        <v>12670</v>
      </c>
    </row>
    <row r="59" spans="1:5" x14ac:dyDescent="0.2">
      <c r="A59" s="28" t="s">
        <v>45</v>
      </c>
      <c r="B59" s="29">
        <v>0</v>
      </c>
      <c r="C59" s="92">
        <f>C58-$B$58</f>
        <v>17000</v>
      </c>
      <c r="D59" s="92">
        <f>D58-$B$58</f>
        <v>12670</v>
      </c>
    </row>
    <row r="60" spans="1:5" x14ac:dyDescent="0.2">
      <c r="A60" s="23" t="s">
        <v>66</v>
      </c>
      <c r="B60" s="35">
        <f>10*ROUND((B6*10.6+B7+B8*E16+B9*E17+B10-B11)*B13/10,0)</f>
        <v>17520</v>
      </c>
      <c r="C60" s="123">
        <f>B60</f>
        <v>17520</v>
      </c>
      <c r="D60" s="123">
        <f>C60</f>
        <v>17520</v>
      </c>
    </row>
    <row r="61" spans="1:5" x14ac:dyDescent="0.2">
      <c r="A61" s="34" t="s">
        <v>67</v>
      </c>
      <c r="B61" s="35">
        <f>B11-B12</f>
        <v>1600</v>
      </c>
      <c r="C61" s="37">
        <f>B61</f>
        <v>1600</v>
      </c>
      <c r="D61" s="37">
        <f>C61</f>
        <v>1600</v>
      </c>
    </row>
    <row r="62" spans="1:5" x14ac:dyDescent="0.2">
      <c r="A62" s="82" t="s">
        <v>97</v>
      </c>
      <c r="B62" s="35"/>
      <c r="C62" s="37">
        <f>IF($B$6&gt;0,10*ROUND((10.6*$B$6-Berechnung!G146*10.6*$B$6/($B$69-$B$67))/10,0),0)</f>
        <v>11200</v>
      </c>
      <c r="D62" s="37">
        <f>IF($B$6&gt;0,0*ROUND((10.6*$B$6-0*10.6*$B$6/($B$69-$B$67))/10,0),0)</f>
        <v>0</v>
      </c>
    </row>
    <row r="63" spans="1:5" x14ac:dyDescent="0.2">
      <c r="A63" s="36" t="s">
        <v>80</v>
      </c>
      <c r="B63" s="35"/>
      <c r="C63" s="37">
        <f>IF($B$7&gt;0,10*ROUND(($B$7-Berechnung!G146*$B$7/($B$69-$B$67))/10,0),0)</f>
        <v>0</v>
      </c>
      <c r="D63" s="37">
        <f>IF($B$6&gt;0,0*ROUND((10.6*$B$6-0*10.6*$B$6/($B$69-$B$67))/10,0),0)</f>
        <v>0</v>
      </c>
    </row>
    <row r="64" spans="1:5" x14ac:dyDescent="0.2">
      <c r="A64" s="36" t="s">
        <v>98</v>
      </c>
      <c r="B64" s="35"/>
      <c r="C64" s="37">
        <f>IF($B$8&gt;0,10*ROUND(($E$16*$B$8-Berechnung!G146*$E$16*$B$8/($B$69-$B$67))/10,0),0)</f>
        <v>0</v>
      </c>
      <c r="D64" s="37">
        <f>IF($B$6&gt;0,0*ROUND((10.6*$B$6-0*10.6*$B$6/($B$69-$B$67))/10,0),0)</f>
        <v>0</v>
      </c>
    </row>
    <row r="65" spans="1:4" x14ac:dyDescent="0.2">
      <c r="A65" s="36" t="s">
        <v>99</v>
      </c>
      <c r="B65" s="35"/>
      <c r="C65" s="37">
        <f>IF($B$9&gt;0,10*ROUND(($E$17*$B$9-Berechnung!G146*$E$17*$B$9/($B$69-$B$67))/10,0),0)</f>
        <v>0</v>
      </c>
      <c r="D65" s="37">
        <f>Berechnung!K147</f>
        <v>4780</v>
      </c>
    </row>
    <row r="66" spans="1:4" x14ac:dyDescent="0.2">
      <c r="A66" s="36" t="s">
        <v>100</v>
      </c>
      <c r="B66" s="35"/>
      <c r="C66" s="37">
        <f>IF($B$10&gt;0,10*ROUND(($B$10-Berechnung!G146*$B$10/($B$69-$B$67))/10,0),0)</f>
        <v>0</v>
      </c>
      <c r="D66" s="37">
        <f>IF($B$6&gt;0,0*ROUND((10.6*$B$6-0*10.6*$B$6/($B$69-$B$67))/10,0),0)</f>
        <v>0</v>
      </c>
    </row>
    <row r="67" spans="1:4" x14ac:dyDescent="0.2">
      <c r="A67" s="36" t="s">
        <v>44</v>
      </c>
      <c r="B67" s="37">
        <f>B23</f>
        <v>4000</v>
      </c>
      <c r="C67" s="37">
        <f>B67</f>
        <v>4000</v>
      </c>
      <c r="D67" s="37">
        <f>C67</f>
        <v>4000</v>
      </c>
    </row>
    <row r="68" spans="1:4" x14ac:dyDescent="0.2">
      <c r="A68" s="36" t="s">
        <v>197</v>
      </c>
      <c r="B68" s="37"/>
      <c r="C68" s="37">
        <f>Berechnung!G145</f>
        <v>4030</v>
      </c>
      <c r="D68" s="37">
        <f>Berechnung!K145</f>
        <v>4030</v>
      </c>
    </row>
    <row r="69" spans="1:4" x14ac:dyDescent="0.2">
      <c r="A69" s="36" t="s">
        <v>18</v>
      </c>
      <c r="B69" s="37">
        <f>10*ROUND((B6*10.6+B7+B8*$E$16+B9*$E$17+B10+B67)/10,0)</f>
        <v>30500</v>
      </c>
      <c r="C69" s="37">
        <f>10*ROUND(SUM(C62:C68)/10,0)</f>
        <v>19230</v>
      </c>
      <c r="D69" s="37">
        <f t="shared" ref="D69" si="3">10*ROUND(SUM(D62:D68)/10,0)</f>
        <v>12810</v>
      </c>
    </row>
    <row r="70" spans="1:4" x14ac:dyDescent="0.2">
      <c r="A70" s="36" t="s">
        <v>41</v>
      </c>
      <c r="B70" s="38">
        <f>10*ROUND((B6*$B$14+B7*$B$15/100+B8*$B$16+B9*$B$17+B10*$B$19/100+B67*$B$18/100)/10,0)</f>
        <v>5100</v>
      </c>
      <c r="C70" s="38">
        <f>10*ROUND((C62*$B$14/10.6+C63*$B$15/100+C64*$G$16/100+C65*$G$17/100+C66*$B$19/100+C67*$B$18/100+C68*$B$20/100)/10,0)</f>
        <v>4210</v>
      </c>
      <c r="D70" s="38">
        <f t="shared" ref="D70" si="4">10*ROUND((D62*$B$14/10.6+D63*$B$15/100+D64*$G$16/100+D65*$G$17/100+D66*$B$19/100+D67*$B$18/100+D68*$B$20/100)/10,0)</f>
        <v>3080</v>
      </c>
    </row>
    <row r="71" spans="1:4" x14ac:dyDescent="0.2">
      <c r="A71" s="21" t="s">
        <v>42</v>
      </c>
      <c r="B71" s="77">
        <v>200</v>
      </c>
      <c r="C71" s="38">
        <f>$B$71+$B$72+50</f>
        <v>250</v>
      </c>
      <c r="D71" s="38">
        <f>400</f>
        <v>400</v>
      </c>
    </row>
    <row r="72" spans="1:4" x14ac:dyDescent="0.2">
      <c r="A72" s="21" t="s">
        <v>220</v>
      </c>
      <c r="B72" s="77"/>
      <c r="C72" s="77"/>
      <c r="D72" s="77"/>
    </row>
    <row r="73" spans="1:4" x14ac:dyDescent="0.2">
      <c r="A73" s="39" t="s">
        <v>43</v>
      </c>
      <c r="B73" s="40">
        <f>B70+B71+B72</f>
        <v>5300</v>
      </c>
      <c r="C73" s="40">
        <f>C70+C71+C72</f>
        <v>4460</v>
      </c>
      <c r="D73" s="40">
        <f>D70+D71+D72</f>
        <v>3480</v>
      </c>
    </row>
    <row r="74" spans="1:4" x14ac:dyDescent="0.2">
      <c r="A74" s="28" t="s">
        <v>2</v>
      </c>
      <c r="B74" s="41">
        <v>0</v>
      </c>
      <c r="C74" s="41">
        <f>-C59-20*(C73-$B$73)</f>
        <v>-200</v>
      </c>
      <c r="D74" s="41">
        <f>-D59-20*(D73-$B$73)</f>
        <v>23730</v>
      </c>
    </row>
    <row r="75" spans="1:4" x14ac:dyDescent="0.2">
      <c r="A75" s="28" t="s">
        <v>16</v>
      </c>
      <c r="B75" s="80"/>
      <c r="C75" s="43">
        <f>IF((($B$73-C73)=0),IF((C59&lt;=0),"sofort","nie"),IF((C59/($B$73-C73)&lt;=0),IF((C59&lt;=0),"sofort","nie"),C59/($B$73-C73)))</f>
        <v>20.238095238095237</v>
      </c>
      <c r="D75" s="43">
        <f>IF((($B$73-D73)=0),IF((D59&lt;=0),"sofort","nie"),IF((D59/($B$73-D73)&lt;=0),IF((D59&lt;=0),"sofort","nie"),D59/($B$73-D73)))</f>
        <v>6.9615384615384617</v>
      </c>
    </row>
    <row r="76" spans="1:4" x14ac:dyDescent="0.2">
      <c r="A76" s="28" t="s">
        <v>17</v>
      </c>
      <c r="B76" s="44">
        <f>ROUND((B6*10.6*$K$12+B7*$K$13+B8*$E$16*$K$15+B9*$E$17*$K$16+B10*$K$14+B67*$K$14)/1000,1)</f>
        <v>10.5</v>
      </c>
      <c r="C76" s="44">
        <f>ROUND((C62*$K$12+C63*$K$13+C64*$K$15+C65*$K$16+C66*$K$14+(C67+C68)*$K$14)/1000,1)</f>
        <v>8</v>
      </c>
      <c r="D76" s="44">
        <f>ROUND((D62*$K$12+D63*$K$13+D64*$K$15+D65*$K$16+D66*$K$14+(D67+D68)*$K$14)/1000,1)</f>
        <v>4.7</v>
      </c>
    </row>
    <row r="77" spans="1:4" x14ac:dyDescent="0.2">
      <c r="A77" s="28" t="s">
        <v>3</v>
      </c>
      <c r="B77" s="45">
        <v>0</v>
      </c>
      <c r="C77" s="113">
        <f>ROUND(100*($B$69-C69)/($B$69-$B$67),1)/100</f>
        <v>0.42499999999999999</v>
      </c>
      <c r="D77" s="113">
        <f>ROUND(100*($B$69-D69)/($B$69-$B$67),1)/100</f>
        <v>0.66799999999999993</v>
      </c>
    </row>
    <row r="78" spans="1:4" x14ac:dyDescent="0.2">
      <c r="A78" s="28" t="s">
        <v>4</v>
      </c>
      <c r="B78" s="45">
        <v>0</v>
      </c>
      <c r="C78" s="45">
        <v>0</v>
      </c>
      <c r="D78" s="45">
        <v>0</v>
      </c>
    </row>
    <row r="79" spans="1:4" x14ac:dyDescent="0.2">
      <c r="A79" s="28" t="s">
        <v>69</v>
      </c>
      <c r="B79" s="45">
        <v>0</v>
      </c>
      <c r="C79" s="113">
        <f>ROUND(100*($B$69-C69)/$B$69,1)/100</f>
        <v>0.37</v>
      </c>
      <c r="D79" s="113">
        <f>ROUND(100*($B$69-D69)/$B$69,1)/100</f>
        <v>0.57999999999999996</v>
      </c>
    </row>
    <row r="80" spans="1:4" x14ac:dyDescent="0.2">
      <c r="A80" s="163" t="s">
        <v>234</v>
      </c>
      <c r="B80" s="126">
        <f>B69/$B$22</f>
        <v>254.16666666666666</v>
      </c>
      <c r="C80" s="126">
        <f t="shared" ref="C80:D80" si="5">C69/$B$22</f>
        <v>160.25</v>
      </c>
      <c r="D80" s="126">
        <f t="shared" si="5"/>
        <v>106.75</v>
      </c>
    </row>
    <row r="81" spans="1:16" x14ac:dyDescent="0.2">
      <c r="A81" s="1"/>
      <c r="B81" s="4"/>
      <c r="C81" s="4"/>
      <c r="D81" s="4"/>
      <c r="E81" s="4"/>
      <c r="F81" s="4"/>
      <c r="G81" s="4"/>
      <c r="H81" s="4"/>
    </row>
    <row r="82" spans="1:16" x14ac:dyDescent="0.2">
      <c r="D82" s="6"/>
      <c r="E82" s="6"/>
      <c r="F82" s="6"/>
      <c r="G82" s="6"/>
      <c r="H82" s="6"/>
      <c r="L82" s="3"/>
    </row>
    <row r="83" spans="1:16" x14ac:dyDescent="0.2">
      <c r="B83" s="57"/>
      <c r="C83" s="48" t="s">
        <v>46</v>
      </c>
      <c r="D83" s="48"/>
      <c r="E83" s="48"/>
      <c r="F83" s="58"/>
      <c r="G83" s="59" t="s">
        <v>47</v>
      </c>
      <c r="H83" s="48"/>
      <c r="I83" s="49"/>
    </row>
    <row r="84" spans="1:16" x14ac:dyDescent="0.2">
      <c r="B84" s="60"/>
      <c r="C84" t="s">
        <v>48</v>
      </c>
      <c r="F84" s="61"/>
      <c r="G84" t="s">
        <v>49</v>
      </c>
      <c r="I84" s="52"/>
    </row>
    <row r="85" spans="1:16" x14ac:dyDescent="0.2">
      <c r="B85" s="62"/>
      <c r="C85" t="s">
        <v>50</v>
      </c>
      <c r="F85" s="63"/>
      <c r="G85" t="s">
        <v>51</v>
      </c>
      <c r="I85" s="52"/>
    </row>
    <row r="86" spans="1:16" x14ac:dyDescent="0.2">
      <c r="B86" s="64"/>
      <c r="C86" s="55" t="s">
        <v>52</v>
      </c>
      <c r="D86" s="55"/>
      <c r="E86" s="55"/>
      <c r="F86" s="55"/>
      <c r="G86" s="55"/>
      <c r="H86" s="55"/>
      <c r="I86" s="56"/>
    </row>
    <row r="88" spans="1:16" x14ac:dyDescent="0.2">
      <c r="B88" s="107"/>
      <c r="C88" s="47" t="s">
        <v>60</v>
      </c>
      <c r="D88" s="48"/>
      <c r="E88" s="48"/>
      <c r="F88" s="49"/>
      <c r="P88" s="99"/>
    </row>
    <row r="89" spans="1:16" x14ac:dyDescent="0.2">
      <c r="B89" s="50" t="s">
        <v>56</v>
      </c>
      <c r="C89" s="51" t="s">
        <v>58</v>
      </c>
      <c r="F89" s="52"/>
    </row>
    <row r="90" spans="1:16" x14ac:dyDescent="0.2">
      <c r="B90" s="53" t="s">
        <v>57</v>
      </c>
      <c r="C90" s="54" t="s">
        <v>59</v>
      </c>
      <c r="D90" s="55"/>
      <c r="E90" s="55"/>
      <c r="F90" s="56"/>
    </row>
    <row r="92" spans="1:16" x14ac:dyDescent="0.2">
      <c r="B92" t="s">
        <v>235</v>
      </c>
    </row>
    <row r="94" spans="1:16" x14ac:dyDescent="0.2">
      <c r="B94" s="165" t="s">
        <v>236</v>
      </c>
      <c r="C94" s="166" t="s">
        <v>236</v>
      </c>
      <c r="D94" s="167" t="s">
        <v>237</v>
      </c>
      <c r="E94" s="168" t="s">
        <v>237</v>
      </c>
      <c r="F94" s="169" t="s">
        <v>238</v>
      </c>
    </row>
    <row r="95" spans="1:16" x14ac:dyDescent="0.2">
      <c r="B95" s="162"/>
      <c r="C95" s="166" t="s">
        <v>239</v>
      </c>
      <c r="D95" s="167"/>
      <c r="E95" s="168" t="s">
        <v>240</v>
      </c>
      <c r="F95" s="164"/>
    </row>
  </sheetData>
  <sheetProtection algorithmName="SHA-512" hashValue="AHYkcsdLsjjHOLMJbh5FKkwjkSyQ7WUbAmgDHeyLeS8xg0MydmbEqlQWcAQZKFZFgQlLkVgxMrhwjbAJVTO/Ow==" saltValue="duoG/L2F6kA2BmpYGsvNpA==" spinCount="100000" sheet="1" objects="1" scenarios="1" selectLockedCells="1"/>
  <conditionalFormatting sqref="B6:B12">
    <cfRule type="cellIs" dxfId="27" priority="127" stopIfTrue="1" operator="notBetween">
      <formula>0</formula>
      <formula>100000</formula>
    </cfRule>
  </conditionalFormatting>
  <conditionalFormatting sqref="B13">
    <cfRule type="cellIs" dxfId="26" priority="17" operator="notBetween">
      <formula>0.5</formula>
      <formula>1</formula>
    </cfRule>
  </conditionalFormatting>
  <conditionalFormatting sqref="B14">
    <cfRule type="cellIs" dxfId="25" priority="54" stopIfTrue="1" operator="notBetween">
      <formula>0</formula>
      <formula>10</formula>
    </cfRule>
  </conditionalFormatting>
  <conditionalFormatting sqref="B15">
    <cfRule type="cellIs" dxfId="24" priority="22" operator="notBetween">
      <formula>3</formula>
      <formula>100</formula>
    </cfRule>
  </conditionalFormatting>
  <conditionalFormatting sqref="B16">
    <cfRule type="cellIs" dxfId="23" priority="15" stopIfTrue="1" operator="notBetween">
      <formula>10</formula>
      <formula>1000</formula>
    </cfRule>
  </conditionalFormatting>
  <conditionalFormatting sqref="B17">
    <cfRule type="cellIs" dxfId="22" priority="14" stopIfTrue="1" operator="notBetween">
      <formula>150</formula>
      <formula>1000</formula>
    </cfRule>
  </conditionalFormatting>
  <conditionalFormatting sqref="B19:B20">
    <cfRule type="cellIs" dxfId="21" priority="10" operator="notBetween">
      <formula>10</formula>
      <formula>200</formula>
    </cfRule>
  </conditionalFormatting>
  <conditionalFormatting sqref="B21">
    <cfRule type="cellIs" dxfId="20" priority="86" stopIfTrue="1" operator="notBetween">
      <formula>500</formula>
      <formula>1500</formula>
    </cfRule>
  </conditionalFormatting>
  <conditionalFormatting sqref="B22">
    <cfRule type="cellIs" dxfId="0" priority="7" operator="notBetween">
      <formula>10</formula>
      <formula>1000</formula>
    </cfRule>
  </conditionalFormatting>
  <conditionalFormatting sqref="B23">
    <cfRule type="cellIs" dxfId="19" priority="85" stopIfTrue="1" operator="notBetween">
      <formula>1000</formula>
      <formula>10000</formula>
    </cfRule>
  </conditionalFormatting>
  <conditionalFormatting sqref="B88">
    <cfRule type="cellIs" dxfId="18" priority="20" stopIfTrue="1" operator="notBetween">
      <formula>60</formula>
      <formula>140</formula>
    </cfRule>
  </conditionalFormatting>
  <conditionalFormatting sqref="B59:D59">
    <cfRule type="cellIs" dxfId="17" priority="25" operator="lessThan">
      <formula>0</formula>
    </cfRule>
    <cfRule type="cellIs" dxfId="16" priority="26" stopIfTrue="1" operator="lessThanOrEqual">
      <formula>5000</formula>
    </cfRule>
  </conditionalFormatting>
  <conditionalFormatting sqref="B73:D73">
    <cfRule type="cellIs" dxfId="15" priority="95" operator="lessThanOrEqual">
      <formula>1500</formula>
    </cfRule>
    <cfRule type="cellIs" dxfId="14" priority="96" operator="greaterThan">
      <formula>$B$73</formula>
    </cfRule>
  </conditionalFormatting>
  <conditionalFormatting sqref="B74:D74">
    <cfRule type="cellIs" dxfId="13" priority="47" stopIfTrue="1" operator="greaterThanOrEqual">
      <formula>5000</formula>
    </cfRule>
  </conditionalFormatting>
  <conditionalFormatting sqref="B76:D76">
    <cfRule type="cellIs" dxfId="12" priority="101" operator="lessThanOrEqual">
      <formula>2</formula>
    </cfRule>
    <cfRule type="cellIs" dxfId="11" priority="102" operator="greaterThan">
      <formula>$B$76</formula>
    </cfRule>
  </conditionalFormatting>
  <conditionalFormatting sqref="B77:D77 C79:D79">
    <cfRule type="cellIs" dxfId="10" priority="39" stopIfTrue="1" operator="greaterThanOrEqual">
      <formula>0.5</formula>
    </cfRule>
  </conditionalFormatting>
  <conditionalFormatting sqref="B78:D78 B79 B81:H81">
    <cfRule type="cellIs" dxfId="9" priority="38" stopIfTrue="1" operator="greaterThanOrEqual">
      <formula>0.5</formula>
    </cfRule>
  </conditionalFormatting>
  <conditionalFormatting sqref="B80:D80">
    <cfRule type="cellIs" dxfId="8" priority="2" operator="greaterThan">
      <formula>220</formula>
    </cfRule>
    <cfRule type="cellIs" dxfId="7" priority="3" operator="between">
      <formula>180</formula>
      <formula>220</formula>
    </cfRule>
    <cfRule type="cellIs" dxfId="6" priority="4" operator="between">
      <formula>100</formula>
      <formula>180</formula>
    </cfRule>
    <cfRule type="cellIs" dxfId="5" priority="5" operator="between">
      <formula>80</formula>
      <formula>100</formula>
    </cfRule>
    <cfRule type="cellIs" dxfId="4" priority="6" operator="lessThan">
      <formula>80</formula>
    </cfRule>
  </conditionalFormatting>
  <conditionalFormatting sqref="C75:D75">
    <cfRule type="expression" dxfId="3" priority="185">
      <formula>OR(IF(C$59&gt;0,C$75&lt;=10,C$75&gt;30),C$74="sofort")</formula>
    </cfRule>
    <cfRule type="expression" dxfId="2" priority="186" stopIfTrue="1">
      <formula>C$59&lt;0</formula>
    </cfRule>
  </conditionalFormatting>
  <conditionalFormatting sqref="B18">
    <cfRule type="cellIs" dxfId="1" priority="1" operator="notBetween">
      <formula>10</formula>
      <formula>200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147"/>
  <sheetViews>
    <sheetView topLeftCell="A127" workbookViewId="0">
      <selection activeCell="K148" sqref="K148"/>
    </sheetView>
  </sheetViews>
  <sheetFormatPr baseColWidth="10" defaultRowHeight="12.75" x14ac:dyDescent="0.2"/>
  <cols>
    <col min="1" max="1" width="22.7109375" customWidth="1"/>
    <col min="3" max="3" width="12.42578125" bestFit="1" customWidth="1"/>
  </cols>
  <sheetData>
    <row r="1" spans="1:5" x14ac:dyDescent="0.2">
      <c r="A1" s="51" t="s">
        <v>94</v>
      </c>
      <c r="E1" s="51" t="s">
        <v>91</v>
      </c>
    </row>
    <row r="3" spans="1:5" x14ac:dyDescent="0.2">
      <c r="A3" s="51" t="s">
        <v>93</v>
      </c>
      <c r="B3" t="e">
        <f>'Haustechnikvarianten berechnen'!#REF!</f>
        <v>#REF!</v>
      </c>
      <c r="E3" t="e">
        <f>'Haustechnikvarianten berechnen'!#REF!</f>
        <v>#REF!</v>
      </c>
    </row>
    <row r="4" spans="1:5" x14ac:dyDescent="0.2">
      <c r="A4" s="51" t="s">
        <v>101</v>
      </c>
      <c r="B4" s="102" t="e">
        <f>'Haustechnikvarianten berechnen'!#REF!/1.1</f>
        <v>#REF!</v>
      </c>
      <c r="E4" s="102" t="e">
        <f>'Haustechnikvarianten berechnen'!#REF!/1.1</f>
        <v>#REF!</v>
      </c>
    </row>
    <row r="5" spans="1:5" x14ac:dyDescent="0.2">
      <c r="A5" s="51" t="s">
        <v>104</v>
      </c>
      <c r="B5" s="102">
        <f>'Haustechnikvarianten berechnen'!B21</f>
        <v>1000</v>
      </c>
      <c r="E5" s="102">
        <f>B5</f>
        <v>1000</v>
      </c>
    </row>
    <row r="6" spans="1:5" x14ac:dyDescent="0.2">
      <c r="A6" s="51" t="s">
        <v>106</v>
      </c>
      <c r="B6" s="102">
        <f>'Haustechnikvarianten berechnen'!B11</f>
        <v>4600</v>
      </c>
      <c r="E6" s="102">
        <f>B6</f>
        <v>4600</v>
      </c>
    </row>
    <row r="7" spans="1:5" x14ac:dyDescent="0.2">
      <c r="A7" s="51" t="s">
        <v>95</v>
      </c>
      <c r="B7" t="e">
        <f>10*ROUND((10*B3+340)/10,0)</f>
        <v>#REF!</v>
      </c>
      <c r="E7" t="e">
        <f>10*ROUND(1.3*(10*E3+340)/10,0)</f>
        <v>#REF!</v>
      </c>
    </row>
    <row r="8" spans="1:5" x14ac:dyDescent="0.2">
      <c r="A8" s="51" t="s">
        <v>96</v>
      </c>
      <c r="B8" t="e">
        <f>10*ROUND(B3*B4*B5/1000*B7/10,0)</f>
        <v>#REF!</v>
      </c>
      <c r="E8" t="e">
        <f>10*ROUND(E3*E4*E5/1000*E7/10,0)</f>
        <v>#REF!</v>
      </c>
    </row>
    <row r="9" spans="1:5" x14ac:dyDescent="0.2">
      <c r="A9" s="51" t="s">
        <v>105</v>
      </c>
      <c r="B9" t="e">
        <f>IF(B8&gt;0.7*B6,B6*0.7,B8)</f>
        <v>#REF!</v>
      </c>
      <c r="E9" t="e">
        <f>IF(E8&gt;0.7*E6,E6*0.7,E8)</f>
        <v>#REF!</v>
      </c>
    </row>
    <row r="12" spans="1:5" x14ac:dyDescent="0.2">
      <c r="A12" s="51" t="s">
        <v>107</v>
      </c>
      <c r="E12" s="51" t="s">
        <v>91</v>
      </c>
    </row>
    <row r="14" spans="1:5" x14ac:dyDescent="0.2">
      <c r="A14" s="51" t="s">
        <v>93</v>
      </c>
      <c r="C14" t="e">
        <f>'Haustechnikvarianten berechnen'!#REF!</f>
        <v>#REF!</v>
      </c>
      <c r="E14" t="e">
        <f>'Haustechnikvarianten berechnen'!#REF!</f>
        <v>#REF!</v>
      </c>
    </row>
    <row r="15" spans="1:5" x14ac:dyDescent="0.2">
      <c r="A15" s="51" t="s">
        <v>101</v>
      </c>
      <c r="C15" s="4" t="e">
        <f>'Haustechnikvarianten berechnen'!#REF!/1.1</f>
        <v>#REF!</v>
      </c>
      <c r="E15" s="4" t="e">
        <f>'Haustechnikvarianten berechnen'!#REF!/1.1</f>
        <v>#REF!</v>
      </c>
    </row>
    <row r="16" spans="1:5" x14ac:dyDescent="0.2">
      <c r="A16" s="51" t="s">
        <v>104</v>
      </c>
      <c r="C16" s="102">
        <f>B5</f>
        <v>1000</v>
      </c>
      <c r="E16" s="102">
        <f>C16</f>
        <v>1000</v>
      </c>
    </row>
    <row r="17" spans="1:5" x14ac:dyDescent="0.2">
      <c r="A17" s="51" t="s">
        <v>106</v>
      </c>
      <c r="C17" s="102">
        <f>B6-'Haustechnikvarianten berechnen'!B12</f>
        <v>1600</v>
      </c>
      <c r="E17" s="102">
        <f>C17</f>
        <v>1600</v>
      </c>
    </row>
    <row r="18" spans="1:5" x14ac:dyDescent="0.2">
      <c r="A18" s="51" t="s">
        <v>111</v>
      </c>
      <c r="C18" s="102">
        <f>'Haustechnikvarianten berechnen'!B60</f>
        <v>17520</v>
      </c>
      <c r="E18" s="102">
        <f>C18</f>
        <v>17520</v>
      </c>
    </row>
    <row r="19" spans="1:5" x14ac:dyDescent="0.2">
      <c r="A19" s="51" t="s">
        <v>108</v>
      </c>
      <c r="C19" t="e">
        <f>'Haustechnikvarianten berechnen'!#REF!</f>
        <v>#REF!</v>
      </c>
      <c r="E19" t="e">
        <f>'Haustechnikvarianten berechnen'!#REF!</f>
        <v>#REF!</v>
      </c>
    </row>
    <row r="20" spans="1:5" x14ac:dyDescent="0.2">
      <c r="A20" s="51" t="s">
        <v>95</v>
      </c>
      <c r="C20" t="e">
        <f>IF(C14&lt;=12,360,10*ROUND((400 -90*C14/27)/10,0))</f>
        <v>#REF!</v>
      </c>
      <c r="E20" t="e">
        <f>IF(E14&lt;=12,360,10*ROUND((400 -90*E14/27)/10,0))</f>
        <v>#REF!</v>
      </c>
    </row>
    <row r="21" spans="1:5" x14ac:dyDescent="0.2">
      <c r="A21" s="51" t="s">
        <v>125</v>
      </c>
      <c r="C21" t="e">
        <f>IF(C17&gt;=3200,IF(C14&lt;20,10*ROUND((C20-30+0.01875*C17)/10,0),C20),C20)</f>
        <v>#REF!</v>
      </c>
      <c r="E21" t="e">
        <f>IF(E17&gt;=3200,IF(E14&lt;20,10*ROUND((E20-30+0.01875*E17)/10,0),E20),E20)</f>
        <v>#REF!</v>
      </c>
    </row>
    <row r="22" spans="1:5" x14ac:dyDescent="0.2">
      <c r="A22" s="51" t="s">
        <v>126</v>
      </c>
      <c r="C22" t="e">
        <f>IF(C18&lt;5000,10*ROUND((C20-26.666+2.222*C14)/10,0),C21)</f>
        <v>#REF!</v>
      </c>
      <c r="E22" t="e">
        <f>IF(E18&lt;5000,10*ROUND((E20-26.666+2.222*E14)/10,0),E21)</f>
        <v>#REF!</v>
      </c>
    </row>
    <row r="23" spans="1:5" x14ac:dyDescent="0.2">
      <c r="A23" s="51" t="s">
        <v>123</v>
      </c>
      <c r="C23" t="e">
        <f>10*ROUND((-1.428*C19+C22+50)/10,0)</f>
        <v>#REF!</v>
      </c>
      <c r="E23" t="e">
        <f>10*ROUND((-1.428*E19+E22+50)/10,0)</f>
        <v>#REF!</v>
      </c>
    </row>
    <row r="24" spans="1:5" x14ac:dyDescent="0.2">
      <c r="A24" s="51" t="s">
        <v>96</v>
      </c>
      <c r="C24" t="e">
        <f>10*ROUND(C14*C15*C16/1000*C23/10,0)</f>
        <v>#REF!</v>
      </c>
      <c r="E24" t="e">
        <f>10*ROUND(1.2*E14*E15*E16/1000*E23/10,0)</f>
        <v>#REF!</v>
      </c>
    </row>
    <row r="25" spans="1:5" x14ac:dyDescent="0.2">
      <c r="A25" s="51" t="s">
        <v>105</v>
      </c>
      <c r="C25" t="e">
        <f>IF(C24&gt;0.9*(C17+C18),0.9*(C17+C18),C24)</f>
        <v>#REF!</v>
      </c>
      <c r="E25" t="e">
        <f>IF(E24&gt;0.9*(E17+E18),0.9*(E17+E18),E24)</f>
        <v>#REF!</v>
      </c>
    </row>
    <row r="27" spans="1:5" x14ac:dyDescent="0.2">
      <c r="A27" s="51" t="s">
        <v>92</v>
      </c>
    </row>
    <row r="29" spans="1:5" x14ac:dyDescent="0.2">
      <c r="A29" s="51" t="s">
        <v>93</v>
      </c>
      <c r="C29" t="e">
        <f>'Haustechnikvarianten berechnen'!#REF!</f>
        <v>#REF!</v>
      </c>
    </row>
    <row r="30" spans="1:5" x14ac:dyDescent="0.2">
      <c r="A30" s="51" t="s">
        <v>101</v>
      </c>
      <c r="C30" s="4" t="e">
        <f>'Haustechnikvarianten berechnen'!#REF!/1.1</f>
        <v>#REF!</v>
      </c>
    </row>
    <row r="31" spans="1:5" x14ac:dyDescent="0.2">
      <c r="A31" s="51" t="s">
        <v>104</v>
      </c>
      <c r="C31" s="102">
        <f>C16</f>
        <v>1000</v>
      </c>
    </row>
    <row r="32" spans="1:5" x14ac:dyDescent="0.2">
      <c r="A32" s="51" t="s">
        <v>111</v>
      </c>
      <c r="C32" s="102">
        <f>C18</f>
        <v>17520</v>
      </c>
    </row>
    <row r="33" spans="1:8" x14ac:dyDescent="0.2">
      <c r="A33" s="51" t="s">
        <v>95</v>
      </c>
      <c r="C33">
        <f>IF(C32&gt;=18100,440,IF(C32&gt;=11000,10*ROUND((440-80*(11300/C32)^2)/10,0),370))</f>
        <v>410</v>
      </c>
    </row>
    <row r="34" spans="1:8" x14ac:dyDescent="0.2">
      <c r="A34" s="51" t="s">
        <v>96</v>
      </c>
      <c r="C34" t="e">
        <f>10*ROUND(C29*C30*C31/1000*C33/10,0)</f>
        <v>#REF!</v>
      </c>
    </row>
    <row r="35" spans="1:8" x14ac:dyDescent="0.2">
      <c r="A35" s="51" t="s">
        <v>105</v>
      </c>
      <c r="C35" t="e">
        <f>IF(C34&gt;C32,C32,C34)</f>
        <v>#REF!</v>
      </c>
    </row>
    <row r="38" spans="1:8" x14ac:dyDescent="0.2">
      <c r="A38" t="s">
        <v>109</v>
      </c>
    </row>
    <row r="39" spans="1:8" x14ac:dyDescent="0.2">
      <c r="A39" t="s">
        <v>110</v>
      </c>
      <c r="C39">
        <v>1600</v>
      </c>
      <c r="D39">
        <v>3200</v>
      </c>
      <c r="E39">
        <v>0</v>
      </c>
      <c r="H39" s="112">
        <v>3200</v>
      </c>
    </row>
    <row r="40" spans="1:8" x14ac:dyDescent="0.2">
      <c r="A40" t="s">
        <v>111</v>
      </c>
      <c r="C40">
        <v>18100</v>
      </c>
      <c r="D40">
        <v>11300</v>
      </c>
      <c r="E40">
        <v>1800</v>
      </c>
      <c r="F40">
        <v>0</v>
      </c>
      <c r="H40" s="112">
        <v>11000</v>
      </c>
    </row>
    <row r="41" spans="1:8" x14ac:dyDescent="0.2">
      <c r="A41" t="s">
        <v>112</v>
      </c>
      <c r="C41">
        <v>35</v>
      </c>
      <c r="D41">
        <v>70</v>
      </c>
      <c r="H41" s="112">
        <v>35</v>
      </c>
    </row>
    <row r="42" spans="1:8" x14ac:dyDescent="0.2">
      <c r="A42" t="s">
        <v>113</v>
      </c>
      <c r="C42" t="s">
        <v>114</v>
      </c>
      <c r="D42" t="s">
        <v>115</v>
      </c>
      <c r="E42" t="s">
        <v>116</v>
      </c>
    </row>
    <row r="43" spans="1:8" x14ac:dyDescent="0.2">
      <c r="A43" t="s">
        <v>93</v>
      </c>
      <c r="C43">
        <v>3</v>
      </c>
      <c r="D43">
        <v>6</v>
      </c>
      <c r="E43">
        <v>12</v>
      </c>
      <c r="F43">
        <v>21</v>
      </c>
      <c r="G43">
        <v>39</v>
      </c>
      <c r="H43" s="112">
        <v>3</v>
      </c>
    </row>
    <row r="45" spans="1:8" x14ac:dyDescent="0.2">
      <c r="A45" t="s">
        <v>117</v>
      </c>
    </row>
    <row r="46" spans="1:8" x14ac:dyDescent="0.2">
      <c r="A46" t="s">
        <v>118</v>
      </c>
      <c r="C46" t="s">
        <v>119</v>
      </c>
      <c r="E46">
        <f>IF(H40&gt;=18100,440,IF(H40&gt;=11000,10*ROUND((440-80*(11300/H40)^2)/10,0),370))</f>
        <v>360</v>
      </c>
    </row>
    <row r="47" spans="1:8" x14ac:dyDescent="0.2">
      <c r="C47" t="s">
        <v>120</v>
      </c>
      <c r="E47">
        <f>IF(H43&lt;=12,360,10*ROUND((400 -90*H43/27)/10,0))</f>
        <v>360</v>
      </c>
    </row>
    <row r="48" spans="1:8" x14ac:dyDescent="0.2">
      <c r="C48" t="s">
        <v>121</v>
      </c>
      <c r="E48">
        <f>IF(H39&gt;=3200,IF(H43&lt;20,10*ROUND((E47-30+0.01875*H39)/10,0),E47),E47)</f>
        <v>390</v>
      </c>
    </row>
    <row r="49" spans="1:7" x14ac:dyDescent="0.2">
      <c r="C49" t="s">
        <v>122</v>
      </c>
      <c r="E49">
        <f>IF(H40&lt;5000,10*ROUND((E47-26.666+2.222*H43)/10,0),E48)</f>
        <v>390</v>
      </c>
    </row>
    <row r="50" spans="1:7" x14ac:dyDescent="0.2">
      <c r="C50" t="s">
        <v>123</v>
      </c>
      <c r="E50">
        <f>10*ROUND((-1.428*H41+E49+50)/10,0)</f>
        <v>390</v>
      </c>
    </row>
    <row r="51" spans="1:7" x14ac:dyDescent="0.2">
      <c r="C51" t="s">
        <v>115</v>
      </c>
      <c r="E51">
        <f>10*ROUND(1.19*E50/10,0)</f>
        <v>460</v>
      </c>
    </row>
    <row r="52" spans="1:7" x14ac:dyDescent="0.2">
      <c r="C52" t="s">
        <v>124</v>
      </c>
      <c r="E52">
        <f>10*ROUND((10*H43+340)/10,0)</f>
        <v>370</v>
      </c>
    </row>
    <row r="55" spans="1:7" x14ac:dyDescent="0.2">
      <c r="A55" s="51" t="s">
        <v>187</v>
      </c>
      <c r="C55" t="e">
        <f>'Haustechnikvarianten berechnen'!#REF!</f>
        <v>#REF!</v>
      </c>
      <c r="D55" t="e">
        <f>C55</f>
        <v>#REF!</v>
      </c>
      <c r="E55" t="e">
        <f>'Haustechnikvarianten berechnen'!#REF!</f>
        <v>#REF!</v>
      </c>
      <c r="F55" t="e">
        <f t="shared" ref="F55:G55" si="0">E55</f>
        <v>#REF!</v>
      </c>
      <c r="G55" t="e">
        <f t="shared" si="0"/>
        <v>#REF!</v>
      </c>
    </row>
    <row r="56" spans="1:7" x14ac:dyDescent="0.2">
      <c r="A56" s="51" t="s">
        <v>188</v>
      </c>
      <c r="C56" t="e">
        <f>'Haustechnikvarianten berechnen'!#REF!</f>
        <v>#REF!</v>
      </c>
      <c r="D56" t="e">
        <f>C56</f>
        <v>#REF!</v>
      </c>
      <c r="E56" t="e">
        <f>'Haustechnikvarianten berechnen'!#REF!</f>
        <v>#REF!</v>
      </c>
      <c r="F56" t="e">
        <f t="shared" ref="F56:G56" si="1">E56</f>
        <v>#REF!</v>
      </c>
      <c r="G56" t="e">
        <f t="shared" si="1"/>
        <v>#REF!</v>
      </c>
    </row>
    <row r="57" spans="1:7" x14ac:dyDescent="0.2">
      <c r="A57" s="51" t="s">
        <v>189</v>
      </c>
      <c r="C57">
        <f>'Haustechnikvarianten berechnen'!B67</f>
        <v>4000</v>
      </c>
      <c r="D57">
        <f>C57</f>
        <v>4000</v>
      </c>
      <c r="E57">
        <f>D57</f>
        <v>4000</v>
      </c>
      <c r="F57">
        <f t="shared" ref="F57:G57" si="2">E57</f>
        <v>4000</v>
      </c>
      <c r="G57">
        <f t="shared" si="2"/>
        <v>4000</v>
      </c>
    </row>
    <row r="58" spans="1:7" x14ac:dyDescent="0.2">
      <c r="A58" s="51" t="s">
        <v>190</v>
      </c>
      <c r="C58" t="e">
        <f>'Haustechnikvarianten berechnen'!#REF!</f>
        <v>#REF!</v>
      </c>
      <c r="D58">
        <v>0</v>
      </c>
      <c r="E58" t="e">
        <f>'Haustechnikvarianten berechnen'!#REF!</f>
        <v>#REF!</v>
      </c>
      <c r="F58" t="e">
        <f>E58</f>
        <v>#REF!</v>
      </c>
      <c r="G58">
        <v>0</v>
      </c>
    </row>
    <row r="59" spans="1:7" x14ac:dyDescent="0.2">
      <c r="A59" s="51" t="s">
        <v>191</v>
      </c>
      <c r="C59">
        <v>0</v>
      </c>
      <c r="D59">
        <v>0</v>
      </c>
      <c r="E59" t="e">
        <f>'Haustechnikvarianten berechnen'!#REF!</f>
        <v>#REF!</v>
      </c>
      <c r="F59">
        <v>0</v>
      </c>
      <c r="G59">
        <v>0</v>
      </c>
    </row>
    <row r="64" spans="1:7" x14ac:dyDescent="0.2">
      <c r="A64" s="121" t="s">
        <v>128</v>
      </c>
      <c r="B64" s="122"/>
      <c r="C64" s="133" t="e">
        <f>C55</f>
        <v>#REF!</v>
      </c>
      <c r="D64" s="133" t="e">
        <f>D55</f>
        <v>#REF!</v>
      </c>
      <c r="E64" s="133" t="e">
        <f t="shared" ref="E64:G64" si="3">E55</f>
        <v>#REF!</v>
      </c>
      <c r="F64" s="133" t="e">
        <f t="shared" si="3"/>
        <v>#REF!</v>
      </c>
      <c r="G64" s="133" t="e">
        <f t="shared" si="3"/>
        <v>#REF!</v>
      </c>
    </row>
    <row r="65" spans="1:9" x14ac:dyDescent="0.2">
      <c r="A65" s="121" t="s">
        <v>129</v>
      </c>
      <c r="B65" s="121"/>
      <c r="C65" s="133" t="e">
        <f>C56</f>
        <v>#REF!</v>
      </c>
      <c r="D65" s="133" t="e">
        <f>D56</f>
        <v>#REF!</v>
      </c>
      <c r="E65" s="133" t="e">
        <f t="shared" ref="E65:G65" si="4">E56</f>
        <v>#REF!</v>
      </c>
      <c r="F65" s="133" t="e">
        <f t="shared" si="4"/>
        <v>#REF!</v>
      </c>
      <c r="G65" s="133" t="e">
        <f t="shared" si="4"/>
        <v>#REF!</v>
      </c>
    </row>
    <row r="66" spans="1:9" x14ac:dyDescent="0.2">
      <c r="A66" s="121" t="s">
        <v>130</v>
      </c>
      <c r="B66" s="121"/>
      <c r="C66" s="133" t="e">
        <f>C$64*C$65</f>
        <v>#REF!</v>
      </c>
      <c r="D66" s="133" t="e">
        <f>D$64*D$65</f>
        <v>#REF!</v>
      </c>
      <c r="E66" s="133" t="e">
        <f t="shared" ref="E66:G66" si="5">E$64*E$65</f>
        <v>#REF!</v>
      </c>
      <c r="F66" s="133" t="e">
        <f t="shared" si="5"/>
        <v>#REF!</v>
      </c>
      <c r="G66" s="133" t="e">
        <f t="shared" si="5"/>
        <v>#REF!</v>
      </c>
    </row>
    <row r="67" spans="1:9" x14ac:dyDescent="0.2">
      <c r="A67" s="121" t="s">
        <v>131</v>
      </c>
      <c r="B67" s="121"/>
      <c r="C67" s="133">
        <v>0</v>
      </c>
      <c r="D67" s="133">
        <v>0</v>
      </c>
      <c r="E67" s="133">
        <v>0</v>
      </c>
      <c r="F67" s="133">
        <v>0</v>
      </c>
      <c r="G67" s="133">
        <v>0</v>
      </c>
    </row>
    <row r="68" spans="1:9" x14ac:dyDescent="0.2">
      <c r="A68" s="121" t="s">
        <v>132</v>
      </c>
      <c r="B68" s="121"/>
      <c r="C68" s="133">
        <f>C57</f>
        <v>4000</v>
      </c>
      <c r="D68" s="133">
        <f>D57</f>
        <v>4000</v>
      </c>
      <c r="E68" s="133">
        <f t="shared" ref="E68:G68" si="6">E57</f>
        <v>4000</v>
      </c>
      <c r="F68" s="133">
        <f t="shared" si="6"/>
        <v>4000</v>
      </c>
      <c r="G68" s="133">
        <f t="shared" si="6"/>
        <v>4000</v>
      </c>
    </row>
    <row r="69" spans="1:9" x14ac:dyDescent="0.2">
      <c r="A69" s="121" t="s">
        <v>133</v>
      </c>
      <c r="B69" s="121"/>
      <c r="C69" s="133">
        <v>0</v>
      </c>
      <c r="D69" s="133">
        <v>0</v>
      </c>
      <c r="E69" s="133">
        <v>0</v>
      </c>
      <c r="F69" s="133">
        <v>0</v>
      </c>
      <c r="G69" s="133">
        <v>0</v>
      </c>
    </row>
    <row r="70" spans="1:9" x14ac:dyDescent="0.2">
      <c r="A70" s="121" t="s">
        <v>134</v>
      </c>
      <c r="B70" s="121"/>
      <c r="C70" s="133" t="e">
        <f>C58</f>
        <v>#REF!</v>
      </c>
      <c r="D70" s="133">
        <f>D58</f>
        <v>0</v>
      </c>
      <c r="E70" s="133" t="e">
        <f t="shared" ref="E70:G70" si="7">E58</f>
        <v>#REF!</v>
      </c>
      <c r="F70" s="133" t="e">
        <f t="shared" si="7"/>
        <v>#REF!</v>
      </c>
      <c r="G70" s="133">
        <f t="shared" si="7"/>
        <v>0</v>
      </c>
    </row>
    <row r="71" spans="1:9" x14ac:dyDescent="0.2">
      <c r="A71" s="121" t="s">
        <v>135</v>
      </c>
      <c r="B71" s="121"/>
      <c r="C71" s="133">
        <v>0</v>
      </c>
      <c r="D71" s="133">
        <v>0</v>
      </c>
      <c r="E71" s="133">
        <v>0</v>
      </c>
      <c r="F71" s="133">
        <v>0</v>
      </c>
      <c r="G71" s="133">
        <v>0</v>
      </c>
    </row>
    <row r="72" spans="1:9" x14ac:dyDescent="0.2">
      <c r="A72" s="121" t="s">
        <v>136</v>
      </c>
      <c r="B72" s="121"/>
      <c r="C72" s="133">
        <f>C59</f>
        <v>0</v>
      </c>
      <c r="D72" s="133">
        <f>D59</f>
        <v>0</v>
      </c>
      <c r="E72" s="133" t="e">
        <f t="shared" ref="E72:G72" si="8">E59</f>
        <v>#REF!</v>
      </c>
      <c r="F72" s="133">
        <f t="shared" si="8"/>
        <v>0</v>
      </c>
      <c r="G72" s="133">
        <f t="shared" si="8"/>
        <v>0</v>
      </c>
    </row>
    <row r="73" spans="1:9" x14ac:dyDescent="0.2">
      <c r="A73" s="121"/>
      <c r="B73" s="121"/>
      <c r="C73" s="133"/>
      <c r="D73" s="133"/>
      <c r="E73" s="133"/>
      <c r="F73" s="133"/>
      <c r="G73" s="133"/>
    </row>
    <row r="74" spans="1:9" x14ac:dyDescent="0.2">
      <c r="A74" s="121" t="s">
        <v>137</v>
      </c>
      <c r="B74" s="121"/>
      <c r="C74" s="133" t="e">
        <f>C$66*MIN(0.6,1/(1+6*C$66/(C$71+C$72+0.0001)))</f>
        <v>#REF!</v>
      </c>
      <c r="D74" s="133" t="e">
        <f>D$66*MIN(0.6,1/(1+6*D$66/(D$71+D$72+0.0001)))</f>
        <v>#REF!</v>
      </c>
      <c r="E74" s="133" t="e">
        <f t="shared" ref="E74:G74" si="9">E$66*MIN(0.6,1/(1+6*E$66/(E$71+E$72+0.0001)))</f>
        <v>#REF!</v>
      </c>
      <c r="F74" s="133" t="e">
        <f t="shared" si="9"/>
        <v>#REF!</v>
      </c>
      <c r="G74" s="133" t="e">
        <f t="shared" si="9"/>
        <v>#REF!</v>
      </c>
      <c r="H74" s="121"/>
      <c r="I74" s="132"/>
    </row>
    <row r="75" spans="1:9" x14ac:dyDescent="0.2">
      <c r="A75" s="121" t="s">
        <v>138</v>
      </c>
      <c r="B75" s="121"/>
      <c r="C75" s="133" t="e">
        <f>C$64*C$65/1025</f>
        <v>#REF!</v>
      </c>
      <c r="D75" s="133" t="e">
        <f>D$64*D$65/1025</f>
        <v>#REF!</v>
      </c>
      <c r="E75" s="133" t="e">
        <f t="shared" ref="E75:G75" si="10">E$64*E$65/1025</f>
        <v>#REF!</v>
      </c>
      <c r="F75" s="133" t="e">
        <f t="shared" si="10"/>
        <v>#REF!</v>
      </c>
      <c r="G75" s="133" t="e">
        <f t="shared" si="10"/>
        <v>#REF!</v>
      </c>
    </row>
    <row r="76" spans="1:9" x14ac:dyDescent="0.2">
      <c r="A76" s="121" t="s">
        <v>139</v>
      </c>
      <c r="B76" s="121"/>
      <c r="C76" s="133" t="e">
        <f>0.05*C$69+0.5*C$70+C$74</f>
        <v>#REF!</v>
      </c>
      <c r="D76" s="133" t="e">
        <f>0.05*D$69+0.5*D$70+D$74</f>
        <v>#REF!</v>
      </c>
      <c r="E76" s="133" t="e">
        <f t="shared" ref="E76:G76" si="11">0.05*E$69+0.5*E$70+E$74</f>
        <v>#REF!</v>
      </c>
      <c r="F76" s="133" t="e">
        <f t="shared" si="11"/>
        <v>#REF!</v>
      </c>
      <c r="G76" s="133" t="e">
        <f t="shared" si="11"/>
        <v>#REF!</v>
      </c>
      <c r="H76" s="132"/>
    </row>
    <row r="77" spans="1:9" x14ac:dyDescent="0.2">
      <c r="A77" s="121" t="s">
        <v>140</v>
      </c>
      <c r="B77" s="121"/>
      <c r="C77" s="133">
        <f>C$68*0.49</f>
        <v>1960</v>
      </c>
      <c r="D77" s="133">
        <f>D$68*0.49</f>
        <v>1960</v>
      </c>
      <c r="E77" s="133">
        <f t="shared" ref="E77:G77" si="12">E$68*0.49</f>
        <v>1960</v>
      </c>
      <c r="F77" s="133">
        <f t="shared" si="12"/>
        <v>1960</v>
      </c>
      <c r="G77" s="133">
        <f t="shared" si="12"/>
        <v>1960</v>
      </c>
    </row>
    <row r="78" spans="1:9" x14ac:dyDescent="0.2">
      <c r="A78" s="121" t="s">
        <v>141</v>
      </c>
      <c r="B78" s="121"/>
      <c r="C78" s="133" t="e">
        <f>MIN(1,(0.2+0.8*C$75/9))</f>
        <v>#REF!</v>
      </c>
      <c r="D78" s="133" t="e">
        <f>MIN(1,(0.2+0.8*D$75/9))</f>
        <v>#REF!</v>
      </c>
      <c r="E78" s="133" t="e">
        <f t="shared" ref="E78:G78" si="13">MIN(1,(0.2+0.8*E$75/9))</f>
        <v>#REF!</v>
      </c>
      <c r="F78" s="133" t="e">
        <f t="shared" si="13"/>
        <v>#REF!</v>
      </c>
      <c r="G78" s="133" t="e">
        <f t="shared" si="13"/>
        <v>#REF!</v>
      </c>
    </row>
    <row r="79" spans="1:9" x14ac:dyDescent="0.2">
      <c r="A79" s="121" t="s">
        <v>142</v>
      </c>
      <c r="B79" s="121"/>
      <c r="C79" s="133" t="e">
        <f>C$77+C$76*C$78</f>
        <v>#REF!</v>
      </c>
      <c r="D79" s="133" t="e">
        <f>D$77+D$76*D$78</f>
        <v>#REF!</v>
      </c>
      <c r="E79" s="133" t="e">
        <f t="shared" ref="E79:G79" si="14">E$77+E$76*E$78</f>
        <v>#REF!</v>
      </c>
      <c r="F79" s="133" t="e">
        <f t="shared" si="14"/>
        <v>#REF!</v>
      </c>
      <c r="G79" s="133" t="e">
        <f t="shared" si="14"/>
        <v>#REF!</v>
      </c>
    </row>
    <row r="80" spans="1:9" x14ac:dyDescent="0.2">
      <c r="A80" s="121" t="s">
        <v>143</v>
      </c>
      <c r="B80" s="121"/>
      <c r="C80" s="133" t="e">
        <f>0.51*C$68+0.1*C$69+0.5*C$70</f>
        <v>#REF!</v>
      </c>
      <c r="D80" s="133">
        <f>0.51*D$68+0.1*D$69+0.5*D$70</f>
        <v>2040</v>
      </c>
      <c r="E80" s="133" t="e">
        <f t="shared" ref="E80:G80" si="15">0.51*E$68+0.1*E$69+0.5*E$70</f>
        <v>#REF!</v>
      </c>
      <c r="F80" s="133" t="e">
        <f t="shared" si="15"/>
        <v>#REF!</v>
      </c>
      <c r="G80" s="133">
        <f t="shared" si="15"/>
        <v>2040</v>
      </c>
    </row>
    <row r="81" spans="1:7" x14ac:dyDescent="0.2">
      <c r="A81" s="121" t="s">
        <v>144</v>
      </c>
      <c r="B81" s="121"/>
      <c r="C81" s="133" t="e">
        <f>29.468*(C$67/C$75)/(29.468*C$67/C$75+1)*0.844*C$67/(C$80/1000+0.0000001)/(0.844*C$67/(C$80/1000+0.0000001)+1)</f>
        <v>#REF!</v>
      </c>
      <c r="D81" s="133" t="e">
        <f>29.468*(D$67/D$75)/(29.468*D$67/D$75+1)*0.844*D$67/(D$80/1000+0.0000001)/(0.844*D$67/(D$80/1000+0.0000001)+1)</f>
        <v>#REF!</v>
      </c>
      <c r="E81" s="133" t="e">
        <f t="shared" ref="E81:G81" si="16">29.468*(E$67/E$75)/(29.468*E$67/E$75+1)*0.844*E$67/(E$80/1000+0.0000001)/(0.844*E$67/(E$80/1000+0.0000001)+1)</f>
        <v>#REF!</v>
      </c>
      <c r="F81" s="133" t="e">
        <f t="shared" si="16"/>
        <v>#REF!</v>
      </c>
      <c r="G81" s="133" t="e">
        <f t="shared" si="16"/>
        <v>#REF!</v>
      </c>
    </row>
    <row r="82" spans="1:7" x14ac:dyDescent="0.2">
      <c r="A82" s="121" t="s">
        <v>145</v>
      </c>
      <c r="B82" s="121"/>
      <c r="C82" s="133" t="e">
        <f>MIN(1,1.05/(1+0.982*(C$66/MAX(1,C$79))^1.0378)+(C$81*2.305)/(1+1.961*(C$66/MAX(1,C$80))^0.947)-0.05/(1+(1-C$83)^2))</f>
        <v>#REF!</v>
      </c>
      <c r="D82" s="133" t="e">
        <f>MIN(1,1.05/(1+0.982*(D$66/MAX(1,D$79))^1.0378)+(D$81*2.305)/(1+1.961*(D$66/MAX(1,D$80))^0.947)-0.05/(1+(1-D$83)^2))</f>
        <v>#REF!</v>
      </c>
      <c r="E82" s="133" t="e">
        <f t="shared" ref="E82:G82" si="17">MIN(1,1.05/(1+0.982*(E$66/MAX(1,E$79))^1.0378)+(E$81*2.305)/(1+1.961*(E$66/MAX(1,E$80))^0.947)-0.05/(1+(1-E$83)^2))</f>
        <v>#REF!</v>
      </c>
      <c r="F82" s="133" t="e">
        <f t="shared" si="17"/>
        <v>#REF!</v>
      </c>
      <c r="G82" s="133" t="e">
        <f t="shared" si="17"/>
        <v>#REF!</v>
      </c>
    </row>
    <row r="83" spans="1:7" x14ac:dyDescent="0.2">
      <c r="A83" s="121" t="s">
        <v>146</v>
      </c>
      <c r="B83" s="121"/>
      <c r="C83" s="133" t="e">
        <f>C$66/(C$68+1)</f>
        <v>#REF!</v>
      </c>
      <c r="D83" s="133" t="e">
        <f>D$66/(D$68+1)</f>
        <v>#REF!</v>
      </c>
      <c r="E83" s="133" t="e">
        <f t="shared" ref="E83:G83" si="18">E$66/(E$68+1)</f>
        <v>#REF!</v>
      </c>
      <c r="F83" s="133" t="e">
        <f t="shared" si="18"/>
        <v>#REF!</v>
      </c>
      <c r="G83" s="133" t="e">
        <f t="shared" si="18"/>
        <v>#REF!</v>
      </c>
    </row>
    <row r="84" spans="1:7" x14ac:dyDescent="0.2">
      <c r="A84" s="121" t="s">
        <v>147</v>
      </c>
      <c r="B84" s="121"/>
      <c r="C84" s="133" t="e">
        <f>MIN(1,1.05/(1+0.982*(C$66/MAX(1,C$79))^1.0378)+0*(C$81*2.305)/(1+1.961*(C$66/MAX(1,C$80))^0.947)-0.05/(1+(1-C$83)^2))</f>
        <v>#REF!</v>
      </c>
      <c r="D84" s="133" t="e">
        <f>MIN(1,1.05/(1+0.982*(D$66/MAX(1,D$79))^1.0378)+0*(D$81*2.305)/(1+1.961*(D$66/MAX(1,D$80))^0.947)-0.05/(1+(1-D$83)^2))</f>
        <v>#REF!</v>
      </c>
      <c r="E84" s="133" t="e">
        <f t="shared" ref="E84:G84" si="19">MIN(1,1.05/(1+0.982*(E$66/MAX(1,E$79))^1.0378)+0*(E$81*2.305)/(1+1.961*(E$66/MAX(1,E$80))^0.947)-0.05/(1+(1-E$83)^2))</f>
        <v>#REF!</v>
      </c>
      <c r="F84" s="133" t="e">
        <f t="shared" si="19"/>
        <v>#REF!</v>
      </c>
      <c r="G84" s="133" t="e">
        <f t="shared" si="19"/>
        <v>#REF!</v>
      </c>
    </row>
    <row r="85" spans="1:7" x14ac:dyDescent="0.2">
      <c r="A85" s="121"/>
      <c r="B85" s="121"/>
      <c r="C85" s="133"/>
      <c r="D85" s="133"/>
      <c r="E85" s="133"/>
      <c r="F85" s="133"/>
      <c r="G85" s="133"/>
    </row>
    <row r="86" spans="1:7" x14ac:dyDescent="0.2">
      <c r="A86" s="121" t="s">
        <v>148</v>
      </c>
      <c r="B86" s="121"/>
      <c r="C86" s="133">
        <v>0.2</v>
      </c>
      <c r="D86" s="133">
        <v>0.2</v>
      </c>
      <c r="E86" s="133">
        <v>0.2</v>
      </c>
      <c r="F86" s="133">
        <v>0.2</v>
      </c>
      <c r="G86" s="133">
        <v>0.2</v>
      </c>
    </row>
    <row r="87" spans="1:7" x14ac:dyDescent="0.2">
      <c r="A87" s="121" t="s">
        <v>149</v>
      </c>
      <c r="B87" s="121"/>
      <c r="C87" s="133" t="e">
        <f>(C$82-C$84)*C$66</f>
        <v>#REF!</v>
      </c>
      <c r="D87" s="133" t="e">
        <f>(D$82-D$84)*D$66</f>
        <v>#REF!</v>
      </c>
      <c r="E87" s="133" t="e">
        <f t="shared" ref="E87:G87" si="20">(E$82-E$84)*E$66</f>
        <v>#REF!</v>
      </c>
      <c r="F87" s="133" t="e">
        <f t="shared" si="20"/>
        <v>#REF!</v>
      </c>
      <c r="G87" s="133" t="e">
        <f t="shared" si="20"/>
        <v>#REF!</v>
      </c>
    </row>
    <row r="88" spans="1:7" x14ac:dyDescent="0.2">
      <c r="A88" s="121" t="s">
        <v>150</v>
      </c>
      <c r="B88" s="121"/>
      <c r="C88" s="133" t="e">
        <f>C$86*C$87</f>
        <v>#REF!</v>
      </c>
      <c r="D88" s="133" t="e">
        <f>D$86*D$87</f>
        <v>#REF!</v>
      </c>
      <c r="E88" s="133" t="e">
        <f t="shared" ref="E88:G88" si="21">E$86*E$87</f>
        <v>#REF!</v>
      </c>
      <c r="F88" s="133" t="e">
        <f t="shared" si="21"/>
        <v>#REF!</v>
      </c>
      <c r="G88" s="133" t="e">
        <f t="shared" si="21"/>
        <v>#REF!</v>
      </c>
    </row>
    <row r="89" spans="1:7" x14ac:dyDescent="0.2">
      <c r="A89" s="121" t="s">
        <v>151</v>
      </c>
      <c r="B89" s="121"/>
      <c r="C89" s="133" t="e">
        <f>C$82*C$66-C$88</f>
        <v>#REF!</v>
      </c>
      <c r="D89" s="133" t="e">
        <f>D$82*D$66-D$88</f>
        <v>#REF!</v>
      </c>
      <c r="E89" s="133" t="e">
        <f t="shared" ref="E89:G89" si="22">E$82*E$66-E$88</f>
        <v>#REF!</v>
      </c>
      <c r="F89" s="133" t="e">
        <f t="shared" si="22"/>
        <v>#REF!</v>
      </c>
      <c r="G89" s="133" t="e">
        <f t="shared" si="22"/>
        <v>#REF!</v>
      </c>
    </row>
    <row r="91" spans="1:7" x14ac:dyDescent="0.2">
      <c r="A91" s="121" t="s">
        <v>192</v>
      </c>
      <c r="C91" s="133" t="e">
        <f>C89-D89</f>
        <v>#REF!</v>
      </c>
      <c r="D91" s="133"/>
      <c r="E91" s="133" t="e">
        <f>F89-G89</f>
        <v>#REF!</v>
      </c>
    </row>
    <row r="92" spans="1:7" x14ac:dyDescent="0.2">
      <c r="A92" s="121" t="s">
        <v>194</v>
      </c>
      <c r="C92" s="133"/>
      <c r="D92" s="133"/>
      <c r="E92" s="133" t="e">
        <f>E89-F89</f>
        <v>#REF!</v>
      </c>
    </row>
    <row r="93" spans="1:7" x14ac:dyDescent="0.2">
      <c r="A93" s="121" t="s">
        <v>193</v>
      </c>
      <c r="C93" s="133" t="e">
        <f>D89</f>
        <v>#REF!</v>
      </c>
      <c r="D93" s="133"/>
      <c r="E93" s="133" t="e">
        <f>G89</f>
        <v>#REF!</v>
      </c>
    </row>
    <row r="94" spans="1:7" x14ac:dyDescent="0.2">
      <c r="A94" s="121" t="s">
        <v>195</v>
      </c>
      <c r="C94" s="133" t="e">
        <f>C66-C89</f>
        <v>#REF!</v>
      </c>
      <c r="D94" s="133"/>
      <c r="E94" s="133" t="e">
        <f>E66-E89</f>
        <v>#REF!</v>
      </c>
    </row>
    <row r="97" spans="1:12" x14ac:dyDescent="0.2">
      <c r="A97" s="121" t="s">
        <v>152</v>
      </c>
      <c r="B97" s="51" t="s">
        <v>181</v>
      </c>
      <c r="C97" s="124" t="e">
        <f>'Haustechnikvarianten berechnen'!#REF!</f>
        <v>#REF!</v>
      </c>
      <c r="E97" s="51" t="s">
        <v>95</v>
      </c>
      <c r="F97" s="124" t="e">
        <f>'Haustechnikvarianten berechnen'!#REF!</f>
        <v>#REF!</v>
      </c>
      <c r="H97" t="e">
        <f>C97*F97</f>
        <v>#REF!</v>
      </c>
    </row>
    <row r="100" spans="1:12" x14ac:dyDescent="0.2">
      <c r="A100" t="s">
        <v>157</v>
      </c>
      <c r="B100" t="s">
        <v>158</v>
      </c>
      <c r="H100" t="s">
        <v>160</v>
      </c>
      <c r="I100" s="124" t="e">
        <f>'Haustechnikvarianten berechnen'!#REF!</f>
        <v>#REF!</v>
      </c>
      <c r="J100" t="s">
        <v>15</v>
      </c>
      <c r="K100" s="102" t="e">
        <f>I100/365</f>
        <v>#REF!</v>
      </c>
      <c r="L100" t="s">
        <v>159</v>
      </c>
    </row>
    <row r="101" spans="1:12" x14ac:dyDescent="0.2">
      <c r="B101" t="s">
        <v>161</v>
      </c>
    </row>
    <row r="102" spans="1:12" x14ac:dyDescent="0.2">
      <c r="A102" s="125" t="s">
        <v>162</v>
      </c>
      <c r="B102" s="125" t="s">
        <v>163</v>
      </c>
      <c r="C102" s="125" t="s">
        <v>164</v>
      </c>
      <c r="D102" s="125" t="s">
        <v>165</v>
      </c>
      <c r="E102" s="125" t="s">
        <v>166</v>
      </c>
      <c r="F102" s="131" t="s">
        <v>182</v>
      </c>
      <c r="G102" s="131" t="s">
        <v>183</v>
      </c>
      <c r="H102" s="125" t="s">
        <v>167</v>
      </c>
    </row>
    <row r="103" spans="1:12" x14ac:dyDescent="0.2">
      <c r="A103" s="125" t="s">
        <v>168</v>
      </c>
      <c r="B103" s="125">
        <v>31</v>
      </c>
      <c r="C103" s="126">
        <v>155.31</v>
      </c>
      <c r="D103" s="127">
        <v>1.4314285714285713</v>
      </c>
      <c r="E103" s="125">
        <v>7</v>
      </c>
      <c r="F103" s="126" t="e">
        <f>C103/$C$115*$H$97</f>
        <v>#REF!</v>
      </c>
      <c r="G103" s="126" t="e">
        <f>$K$100*B103</f>
        <v>#REF!</v>
      </c>
      <c r="H103" s="126" t="e">
        <f>IF(F103&gt;G103,G103,F103)</f>
        <v>#REF!</v>
      </c>
    </row>
    <row r="104" spans="1:12" x14ac:dyDescent="0.2">
      <c r="A104" s="125" t="s">
        <v>169</v>
      </c>
      <c r="B104" s="125">
        <v>28</v>
      </c>
      <c r="C104" s="126">
        <v>222.6</v>
      </c>
      <c r="D104" s="127">
        <v>1.8705882352941177</v>
      </c>
      <c r="E104" s="125">
        <v>8.5</v>
      </c>
      <c r="F104" s="126" t="e">
        <f t="shared" ref="F104:F114" si="23">C104/$C$115*$H$97</f>
        <v>#REF!</v>
      </c>
      <c r="G104" s="126" t="e">
        <f t="shared" ref="G104:G114" si="24">$K$100*B104</f>
        <v>#REF!</v>
      </c>
      <c r="H104" s="126" t="e">
        <f t="shared" ref="H104:H114" si="25">IF(F104&gt;G104,G104,F104)</f>
        <v>#REF!</v>
      </c>
    </row>
    <row r="105" spans="1:12" x14ac:dyDescent="0.2">
      <c r="A105" s="125" t="s">
        <v>170</v>
      </c>
      <c r="B105" s="125">
        <v>31</v>
      </c>
      <c r="C105" s="126">
        <v>452.6</v>
      </c>
      <c r="D105" s="127">
        <v>2.8627450980392157</v>
      </c>
      <c r="E105" s="125">
        <v>10.199999999999999</v>
      </c>
      <c r="F105" s="126" t="e">
        <f t="shared" si="23"/>
        <v>#REF!</v>
      </c>
      <c r="G105" s="126" t="e">
        <f t="shared" si="24"/>
        <v>#REF!</v>
      </c>
      <c r="H105" s="126" t="e">
        <f t="shared" si="25"/>
        <v>#REF!</v>
      </c>
    </row>
    <row r="106" spans="1:12" x14ac:dyDescent="0.2">
      <c r="A106" s="125" t="s">
        <v>171</v>
      </c>
      <c r="B106" s="125">
        <v>30</v>
      </c>
      <c r="C106" s="126">
        <v>570</v>
      </c>
      <c r="D106" s="127">
        <v>3.1147540983606561</v>
      </c>
      <c r="E106" s="125">
        <v>12.2</v>
      </c>
      <c r="F106" s="126" t="e">
        <f t="shared" si="23"/>
        <v>#REF!</v>
      </c>
      <c r="G106" s="126" t="e">
        <f t="shared" si="24"/>
        <v>#REF!</v>
      </c>
      <c r="H106" s="126" t="e">
        <f t="shared" si="25"/>
        <v>#REF!</v>
      </c>
    </row>
    <row r="107" spans="1:12" x14ac:dyDescent="0.2">
      <c r="A107" s="125" t="s">
        <v>172</v>
      </c>
      <c r="B107" s="125">
        <v>31</v>
      </c>
      <c r="C107" s="126">
        <v>598.29999999999995</v>
      </c>
      <c r="D107" s="127">
        <v>2.9242424242424243</v>
      </c>
      <c r="E107" s="125">
        <v>13.2</v>
      </c>
      <c r="F107" s="126" t="e">
        <f t="shared" si="23"/>
        <v>#REF!</v>
      </c>
      <c r="G107" s="126" t="e">
        <f t="shared" si="24"/>
        <v>#REF!</v>
      </c>
      <c r="H107" s="126" t="e">
        <f t="shared" si="25"/>
        <v>#REF!</v>
      </c>
    </row>
    <row r="108" spans="1:12" x14ac:dyDescent="0.2">
      <c r="A108" s="125" t="s">
        <v>173</v>
      </c>
      <c r="B108" s="125">
        <v>30</v>
      </c>
      <c r="C108" s="126">
        <v>579</v>
      </c>
      <c r="D108" s="127">
        <v>2.71830985915493</v>
      </c>
      <c r="E108" s="125">
        <v>14.2</v>
      </c>
      <c r="F108" s="126" t="e">
        <f t="shared" si="23"/>
        <v>#REF!</v>
      </c>
      <c r="G108" s="126" t="e">
        <f t="shared" si="24"/>
        <v>#REF!</v>
      </c>
      <c r="H108" s="126" t="e">
        <f t="shared" si="25"/>
        <v>#REF!</v>
      </c>
    </row>
    <row r="109" spans="1:12" x14ac:dyDescent="0.2">
      <c r="A109" s="125" t="s">
        <v>174</v>
      </c>
      <c r="B109" s="125">
        <v>31</v>
      </c>
      <c r="C109" s="126">
        <v>579.70000000000005</v>
      </c>
      <c r="D109" s="127">
        <v>2.615384615384615</v>
      </c>
      <c r="E109" s="125">
        <v>14.3</v>
      </c>
      <c r="F109" s="126" t="e">
        <f t="shared" si="23"/>
        <v>#REF!</v>
      </c>
      <c r="G109" s="126" t="e">
        <f t="shared" si="24"/>
        <v>#REF!</v>
      </c>
      <c r="H109" s="126" t="e">
        <f t="shared" si="25"/>
        <v>#REF!</v>
      </c>
    </row>
    <row r="110" spans="1:12" x14ac:dyDescent="0.2">
      <c r="A110" s="125" t="s">
        <v>175</v>
      </c>
      <c r="B110" s="125">
        <v>31</v>
      </c>
      <c r="C110" s="126">
        <v>554.9</v>
      </c>
      <c r="D110" s="127">
        <v>2.7121212121212119</v>
      </c>
      <c r="E110" s="125">
        <v>13.2</v>
      </c>
      <c r="F110" s="126" t="e">
        <f t="shared" si="23"/>
        <v>#REF!</v>
      </c>
      <c r="G110" s="126" t="e">
        <f t="shared" si="24"/>
        <v>#REF!</v>
      </c>
      <c r="H110" s="126" t="e">
        <f t="shared" si="25"/>
        <v>#REF!</v>
      </c>
    </row>
    <row r="111" spans="1:12" x14ac:dyDescent="0.2">
      <c r="A111" s="125" t="s">
        <v>176</v>
      </c>
      <c r="B111" s="125">
        <v>30</v>
      </c>
      <c r="C111" s="126">
        <v>441</v>
      </c>
      <c r="D111" s="127">
        <v>2.4098360655737707</v>
      </c>
      <c r="E111" s="125">
        <v>12.2</v>
      </c>
      <c r="F111" s="126" t="e">
        <f t="shared" si="23"/>
        <v>#REF!</v>
      </c>
      <c r="G111" s="126" t="e">
        <f t="shared" si="24"/>
        <v>#REF!</v>
      </c>
      <c r="H111" s="126" t="e">
        <f t="shared" si="25"/>
        <v>#REF!</v>
      </c>
    </row>
    <row r="112" spans="1:12" x14ac:dyDescent="0.2">
      <c r="A112" s="125" t="s">
        <v>177</v>
      </c>
      <c r="B112" s="125">
        <v>31</v>
      </c>
      <c r="C112" s="126">
        <v>341</v>
      </c>
      <c r="D112" s="127">
        <v>2</v>
      </c>
      <c r="E112" s="125">
        <v>11</v>
      </c>
      <c r="F112" s="126" t="e">
        <f t="shared" si="23"/>
        <v>#REF!</v>
      </c>
      <c r="G112" s="126" t="e">
        <f t="shared" si="24"/>
        <v>#REF!</v>
      </c>
      <c r="H112" s="126" t="e">
        <f t="shared" si="25"/>
        <v>#REF!</v>
      </c>
    </row>
    <row r="113" spans="1:14" x14ac:dyDescent="0.2">
      <c r="A113" s="125" t="s">
        <v>178</v>
      </c>
      <c r="B113" s="125">
        <v>30</v>
      </c>
      <c r="C113" s="126">
        <v>177.3</v>
      </c>
      <c r="D113" s="127">
        <v>1.3133333333333335</v>
      </c>
      <c r="E113" s="125">
        <v>9</v>
      </c>
      <c r="F113" s="126" t="e">
        <f t="shared" si="23"/>
        <v>#REF!</v>
      </c>
      <c r="G113" s="126" t="e">
        <f t="shared" si="24"/>
        <v>#REF!</v>
      </c>
      <c r="H113" s="126" t="e">
        <f t="shared" si="25"/>
        <v>#REF!</v>
      </c>
    </row>
    <row r="114" spans="1:14" x14ac:dyDescent="0.2">
      <c r="A114" s="125" t="s">
        <v>179</v>
      </c>
      <c r="B114" s="125">
        <v>31</v>
      </c>
      <c r="C114" s="126">
        <v>133.30000000000001</v>
      </c>
      <c r="D114" s="127">
        <v>1.2285714285714284</v>
      </c>
      <c r="E114" s="125">
        <v>7</v>
      </c>
      <c r="F114" s="126" t="e">
        <f t="shared" si="23"/>
        <v>#REF!</v>
      </c>
      <c r="G114" s="126" t="e">
        <f t="shared" si="24"/>
        <v>#REF!</v>
      </c>
      <c r="H114" s="126" t="e">
        <f t="shared" si="25"/>
        <v>#REF!</v>
      </c>
    </row>
    <row r="115" spans="1:14" x14ac:dyDescent="0.2">
      <c r="A115" s="128" t="s">
        <v>180</v>
      </c>
      <c r="B115" s="128">
        <v>365</v>
      </c>
      <c r="C115" s="129">
        <v>4805.01</v>
      </c>
      <c r="D115" s="125"/>
      <c r="E115" s="125"/>
      <c r="F115" s="126" t="e">
        <f>SUM(F103:F114)</f>
        <v>#REF!</v>
      </c>
      <c r="G115" s="126" t="e">
        <f>SUM(G103:G114)</f>
        <v>#REF!</v>
      </c>
      <c r="H115" s="126" t="e">
        <f>SUM(H103:H114)</f>
        <v>#REF!</v>
      </c>
    </row>
    <row r="117" spans="1:14" x14ac:dyDescent="0.2">
      <c r="I117" s="126"/>
    </row>
    <row r="118" spans="1:14" x14ac:dyDescent="0.2">
      <c r="A118" s="121" t="s">
        <v>153</v>
      </c>
      <c r="B118" s="51" t="s">
        <v>181</v>
      </c>
      <c r="C118" s="124" t="e">
        <f>'Haustechnikvarianten berechnen'!#REF!</f>
        <v>#REF!</v>
      </c>
      <c r="E118" s="51" t="s">
        <v>95</v>
      </c>
      <c r="F118" s="124" t="e">
        <f>'Haustechnikvarianten berechnen'!#REF!</f>
        <v>#REF!</v>
      </c>
      <c r="H118" t="e">
        <f>C118*F118</f>
        <v>#REF!</v>
      </c>
    </row>
    <row r="121" spans="1:14" x14ac:dyDescent="0.2">
      <c r="A121" t="s">
        <v>157</v>
      </c>
      <c r="B121" t="s">
        <v>158</v>
      </c>
      <c r="H121" t="s">
        <v>160</v>
      </c>
      <c r="I121" s="124" t="e">
        <f>'Haustechnikvarianten berechnen'!#REF!</f>
        <v>#REF!</v>
      </c>
      <c r="J121" t="s">
        <v>15</v>
      </c>
      <c r="K121" s="102" t="e">
        <f>I121/365</f>
        <v>#REF!</v>
      </c>
      <c r="L121" t="s">
        <v>159</v>
      </c>
      <c r="M121" s="51" t="s">
        <v>184</v>
      </c>
      <c r="N121" s="124" t="e">
        <f>'Haustechnikvarianten berechnen'!#REF!</f>
        <v>#REF!</v>
      </c>
    </row>
    <row r="122" spans="1:14" x14ac:dyDescent="0.2">
      <c r="B122" t="s">
        <v>161</v>
      </c>
    </row>
    <row r="123" spans="1:14" x14ac:dyDescent="0.2">
      <c r="A123" s="125" t="s">
        <v>162</v>
      </c>
      <c r="B123" s="125" t="s">
        <v>163</v>
      </c>
      <c r="C123" s="125" t="s">
        <v>164</v>
      </c>
      <c r="D123" s="125" t="s">
        <v>165</v>
      </c>
      <c r="E123" s="125" t="s">
        <v>166</v>
      </c>
      <c r="F123" s="131" t="s">
        <v>182</v>
      </c>
      <c r="G123" s="131" t="s">
        <v>183</v>
      </c>
      <c r="H123" s="125" t="s">
        <v>167</v>
      </c>
      <c r="I123" s="131" t="s">
        <v>185</v>
      </c>
      <c r="J123" s="131" t="s">
        <v>186</v>
      </c>
      <c r="K123" s="131" t="s">
        <v>167</v>
      </c>
    </row>
    <row r="124" spans="1:14" x14ac:dyDescent="0.2">
      <c r="A124" s="125" t="s">
        <v>168</v>
      </c>
      <c r="B124" s="125">
        <v>31</v>
      </c>
      <c r="C124" s="126">
        <v>155.31</v>
      </c>
      <c r="D124" s="127">
        <v>1.4314285714285713</v>
      </c>
      <c r="E124" s="125">
        <v>7</v>
      </c>
      <c r="F124" s="126" t="e">
        <f>C124/$C$136*$H$118</f>
        <v>#REF!</v>
      </c>
      <c r="G124" s="126" t="e">
        <f>$K$100*B124</f>
        <v>#REF!</v>
      </c>
      <c r="H124" s="126" t="e">
        <f>IF(F124&gt;G124,G124,F124)</f>
        <v>#REF!</v>
      </c>
      <c r="I124" s="126">
        <v>170</v>
      </c>
      <c r="J124" s="126" t="e">
        <f>$N$121*I124/$I$136</f>
        <v>#REF!</v>
      </c>
      <c r="K124" s="126" t="e">
        <f>IF((F124-H124)&gt;0,IF((F124-H124)&gt;J124,J124,(F124-H124)),0)</f>
        <v>#REF!</v>
      </c>
      <c r="L124" s="130" t="e">
        <f>H124+K124</f>
        <v>#REF!</v>
      </c>
    </row>
    <row r="125" spans="1:14" x14ac:dyDescent="0.2">
      <c r="A125" s="125" t="s">
        <v>169</v>
      </c>
      <c r="B125" s="125">
        <v>28</v>
      </c>
      <c r="C125" s="126">
        <v>222.6</v>
      </c>
      <c r="D125" s="127">
        <v>1.8705882352941177</v>
      </c>
      <c r="E125" s="125">
        <v>8.5</v>
      </c>
      <c r="F125" s="126" t="e">
        <f t="shared" ref="F125:F135" si="26">C125/$C$136*$H$118</f>
        <v>#REF!</v>
      </c>
      <c r="G125" s="126" t="e">
        <f t="shared" ref="G125:G135" si="27">$K$100*B125</f>
        <v>#REF!</v>
      </c>
      <c r="H125" s="126" t="e">
        <f t="shared" ref="H125:H135" si="28">IF(F125&gt;G125,G125,F125)</f>
        <v>#REF!</v>
      </c>
      <c r="I125" s="126">
        <v>150</v>
      </c>
      <c r="J125" s="126" t="e">
        <f t="shared" ref="J125:J135" si="29">$N$121*I125/$I$136</f>
        <v>#REF!</v>
      </c>
      <c r="K125" s="126" t="e">
        <f t="shared" ref="K125:K136" si="30">IF((F125-H125)&gt;0,IF((F125-H125)&gt;J125,J125,(F125-H125)),0)</f>
        <v>#REF!</v>
      </c>
      <c r="L125" s="130" t="e">
        <f t="shared" ref="L125:L135" si="31">H125+K125</f>
        <v>#REF!</v>
      </c>
    </row>
    <row r="126" spans="1:14" x14ac:dyDescent="0.2">
      <c r="A126" s="125" t="s">
        <v>170</v>
      </c>
      <c r="B126" s="125">
        <v>31</v>
      </c>
      <c r="C126" s="126">
        <v>452.6</v>
      </c>
      <c r="D126" s="127">
        <v>2.8627450980392157</v>
      </c>
      <c r="E126" s="125">
        <v>10.199999999999999</v>
      </c>
      <c r="F126" s="126" t="e">
        <f t="shared" si="26"/>
        <v>#REF!</v>
      </c>
      <c r="G126" s="126" t="e">
        <f t="shared" si="27"/>
        <v>#REF!</v>
      </c>
      <c r="H126" s="126" t="e">
        <f t="shared" si="28"/>
        <v>#REF!</v>
      </c>
      <c r="I126" s="126">
        <v>130</v>
      </c>
      <c r="J126" s="126" t="e">
        <f t="shared" si="29"/>
        <v>#REF!</v>
      </c>
      <c r="K126" s="126" t="e">
        <f t="shared" si="30"/>
        <v>#REF!</v>
      </c>
      <c r="L126" s="130" t="e">
        <f t="shared" si="31"/>
        <v>#REF!</v>
      </c>
    </row>
    <row r="127" spans="1:14" x14ac:dyDescent="0.2">
      <c r="A127" s="125" t="s">
        <v>171</v>
      </c>
      <c r="B127" s="125">
        <v>30</v>
      </c>
      <c r="C127" s="126">
        <v>570</v>
      </c>
      <c r="D127" s="127">
        <v>3.1147540983606561</v>
      </c>
      <c r="E127" s="125">
        <v>12.2</v>
      </c>
      <c r="F127" s="126" t="e">
        <f t="shared" si="26"/>
        <v>#REF!</v>
      </c>
      <c r="G127" s="126" t="e">
        <f t="shared" si="27"/>
        <v>#REF!</v>
      </c>
      <c r="H127" s="126" t="e">
        <f t="shared" si="28"/>
        <v>#REF!</v>
      </c>
      <c r="I127" s="126">
        <v>80</v>
      </c>
      <c r="J127" s="126" t="e">
        <f t="shared" si="29"/>
        <v>#REF!</v>
      </c>
      <c r="K127" s="126" t="e">
        <f t="shared" si="30"/>
        <v>#REF!</v>
      </c>
      <c r="L127" s="130" t="e">
        <f t="shared" si="31"/>
        <v>#REF!</v>
      </c>
    </row>
    <row r="128" spans="1:14" x14ac:dyDescent="0.2">
      <c r="A128" s="125" t="s">
        <v>172</v>
      </c>
      <c r="B128" s="125">
        <v>31</v>
      </c>
      <c r="C128" s="126">
        <v>598.29999999999995</v>
      </c>
      <c r="D128" s="127">
        <v>2.9242424242424243</v>
      </c>
      <c r="E128" s="125">
        <v>13.2</v>
      </c>
      <c r="F128" s="126" t="e">
        <f t="shared" si="26"/>
        <v>#REF!</v>
      </c>
      <c r="G128" s="126" t="e">
        <f t="shared" si="27"/>
        <v>#REF!</v>
      </c>
      <c r="H128" s="126" t="e">
        <f t="shared" si="28"/>
        <v>#REF!</v>
      </c>
      <c r="I128" s="126">
        <v>40</v>
      </c>
      <c r="J128" s="126" t="e">
        <f t="shared" si="29"/>
        <v>#REF!</v>
      </c>
      <c r="K128" s="126" t="e">
        <f t="shared" si="30"/>
        <v>#REF!</v>
      </c>
      <c r="L128" s="130" t="e">
        <f t="shared" si="31"/>
        <v>#REF!</v>
      </c>
    </row>
    <row r="129" spans="1:12" x14ac:dyDescent="0.2">
      <c r="A129" s="125" t="s">
        <v>173</v>
      </c>
      <c r="B129" s="125">
        <v>30</v>
      </c>
      <c r="C129" s="126">
        <v>579</v>
      </c>
      <c r="D129" s="127">
        <v>2.71830985915493</v>
      </c>
      <c r="E129" s="125">
        <v>14.2</v>
      </c>
      <c r="F129" s="126" t="e">
        <f t="shared" si="26"/>
        <v>#REF!</v>
      </c>
      <c r="G129" s="126" t="e">
        <f t="shared" si="27"/>
        <v>#REF!</v>
      </c>
      <c r="H129" s="126" t="e">
        <f t="shared" si="28"/>
        <v>#REF!</v>
      </c>
      <c r="I129" s="126">
        <v>0</v>
      </c>
      <c r="J129" s="126" t="e">
        <f t="shared" si="29"/>
        <v>#REF!</v>
      </c>
      <c r="K129" s="126" t="e">
        <f t="shared" si="30"/>
        <v>#REF!</v>
      </c>
      <c r="L129" s="130" t="e">
        <f t="shared" si="31"/>
        <v>#REF!</v>
      </c>
    </row>
    <row r="130" spans="1:12" x14ac:dyDescent="0.2">
      <c r="A130" s="125" t="s">
        <v>174</v>
      </c>
      <c r="B130" s="125">
        <v>31</v>
      </c>
      <c r="C130" s="126">
        <v>579.70000000000005</v>
      </c>
      <c r="D130" s="127">
        <v>2.615384615384615</v>
      </c>
      <c r="E130" s="125">
        <v>14.3</v>
      </c>
      <c r="F130" s="126" t="e">
        <f t="shared" si="26"/>
        <v>#REF!</v>
      </c>
      <c r="G130" s="126" t="e">
        <f t="shared" si="27"/>
        <v>#REF!</v>
      </c>
      <c r="H130" s="126" t="e">
        <f t="shared" si="28"/>
        <v>#REF!</v>
      </c>
      <c r="I130" s="126">
        <v>0</v>
      </c>
      <c r="J130" s="126" t="e">
        <f t="shared" si="29"/>
        <v>#REF!</v>
      </c>
      <c r="K130" s="126" t="e">
        <f t="shared" si="30"/>
        <v>#REF!</v>
      </c>
      <c r="L130" s="130" t="e">
        <f t="shared" si="31"/>
        <v>#REF!</v>
      </c>
    </row>
    <row r="131" spans="1:12" x14ac:dyDescent="0.2">
      <c r="A131" s="125" t="s">
        <v>175</v>
      </c>
      <c r="B131" s="125">
        <v>31</v>
      </c>
      <c r="C131" s="126">
        <v>554.9</v>
      </c>
      <c r="D131" s="127">
        <v>2.7121212121212119</v>
      </c>
      <c r="E131" s="125">
        <v>13.2</v>
      </c>
      <c r="F131" s="126" t="e">
        <f t="shared" si="26"/>
        <v>#REF!</v>
      </c>
      <c r="G131" s="126" t="e">
        <f t="shared" si="27"/>
        <v>#REF!</v>
      </c>
      <c r="H131" s="126" t="e">
        <f t="shared" si="28"/>
        <v>#REF!</v>
      </c>
      <c r="I131" s="126">
        <v>0</v>
      </c>
      <c r="J131" s="126" t="e">
        <f t="shared" si="29"/>
        <v>#REF!</v>
      </c>
      <c r="K131" s="126" t="e">
        <f t="shared" si="30"/>
        <v>#REF!</v>
      </c>
      <c r="L131" s="130" t="e">
        <f t="shared" si="31"/>
        <v>#REF!</v>
      </c>
    </row>
    <row r="132" spans="1:12" x14ac:dyDescent="0.2">
      <c r="A132" s="125" t="s">
        <v>176</v>
      </c>
      <c r="B132" s="125">
        <v>30</v>
      </c>
      <c r="C132" s="126">
        <v>441</v>
      </c>
      <c r="D132" s="127">
        <v>2.4098360655737707</v>
      </c>
      <c r="E132" s="125">
        <v>12.2</v>
      </c>
      <c r="F132" s="126" t="e">
        <f t="shared" si="26"/>
        <v>#REF!</v>
      </c>
      <c r="G132" s="126" t="e">
        <f t="shared" si="27"/>
        <v>#REF!</v>
      </c>
      <c r="H132" s="126" t="e">
        <f t="shared" si="28"/>
        <v>#REF!</v>
      </c>
      <c r="I132" s="126">
        <v>30</v>
      </c>
      <c r="J132" s="126" t="e">
        <f t="shared" si="29"/>
        <v>#REF!</v>
      </c>
      <c r="K132" s="126" t="e">
        <f t="shared" si="30"/>
        <v>#REF!</v>
      </c>
      <c r="L132" s="130" t="e">
        <f t="shared" si="31"/>
        <v>#REF!</v>
      </c>
    </row>
    <row r="133" spans="1:12" x14ac:dyDescent="0.2">
      <c r="A133" s="125" t="s">
        <v>177</v>
      </c>
      <c r="B133" s="125">
        <v>31</v>
      </c>
      <c r="C133" s="126">
        <v>341</v>
      </c>
      <c r="D133" s="127">
        <v>2</v>
      </c>
      <c r="E133" s="125">
        <v>11</v>
      </c>
      <c r="F133" s="126" t="e">
        <f t="shared" si="26"/>
        <v>#REF!</v>
      </c>
      <c r="G133" s="126" t="e">
        <f t="shared" si="27"/>
        <v>#REF!</v>
      </c>
      <c r="H133" s="126" t="e">
        <f t="shared" si="28"/>
        <v>#REF!</v>
      </c>
      <c r="I133" s="126">
        <v>80</v>
      </c>
      <c r="J133" s="126" t="e">
        <f t="shared" si="29"/>
        <v>#REF!</v>
      </c>
      <c r="K133" s="126" t="e">
        <f t="shared" si="30"/>
        <v>#REF!</v>
      </c>
      <c r="L133" s="130" t="e">
        <f t="shared" si="31"/>
        <v>#REF!</v>
      </c>
    </row>
    <row r="134" spans="1:12" x14ac:dyDescent="0.2">
      <c r="A134" s="125" t="s">
        <v>178</v>
      </c>
      <c r="B134" s="125">
        <v>30</v>
      </c>
      <c r="C134" s="126">
        <v>177.3</v>
      </c>
      <c r="D134" s="127">
        <v>1.3133333333333335</v>
      </c>
      <c r="E134" s="125">
        <v>9</v>
      </c>
      <c r="F134" s="126" t="e">
        <f t="shared" si="26"/>
        <v>#REF!</v>
      </c>
      <c r="G134" s="126" t="e">
        <f t="shared" si="27"/>
        <v>#REF!</v>
      </c>
      <c r="H134" s="126" t="e">
        <f t="shared" si="28"/>
        <v>#REF!</v>
      </c>
      <c r="I134" s="126">
        <v>120</v>
      </c>
      <c r="J134" s="126" t="e">
        <f t="shared" si="29"/>
        <v>#REF!</v>
      </c>
      <c r="K134" s="126" t="e">
        <f t="shared" si="30"/>
        <v>#REF!</v>
      </c>
      <c r="L134" s="130" t="e">
        <f t="shared" si="31"/>
        <v>#REF!</v>
      </c>
    </row>
    <row r="135" spans="1:12" x14ac:dyDescent="0.2">
      <c r="A135" s="125" t="s">
        <v>179</v>
      </c>
      <c r="B135" s="125">
        <v>31</v>
      </c>
      <c r="C135" s="126">
        <v>133.30000000000001</v>
      </c>
      <c r="D135" s="127">
        <v>1.2285714285714284</v>
      </c>
      <c r="E135" s="125">
        <v>7</v>
      </c>
      <c r="F135" s="126" t="e">
        <f t="shared" si="26"/>
        <v>#REF!</v>
      </c>
      <c r="G135" s="126" t="e">
        <f t="shared" si="27"/>
        <v>#REF!</v>
      </c>
      <c r="H135" s="126" t="e">
        <f t="shared" si="28"/>
        <v>#REF!</v>
      </c>
      <c r="I135" s="126">
        <v>160</v>
      </c>
      <c r="J135" s="126" t="e">
        <f t="shared" si="29"/>
        <v>#REF!</v>
      </c>
      <c r="K135" s="126" t="e">
        <f t="shared" si="30"/>
        <v>#REF!</v>
      </c>
      <c r="L135" s="130" t="e">
        <f t="shared" si="31"/>
        <v>#REF!</v>
      </c>
    </row>
    <row r="136" spans="1:12" x14ac:dyDescent="0.2">
      <c r="A136" s="128" t="s">
        <v>180</v>
      </c>
      <c r="B136" s="128">
        <v>365</v>
      </c>
      <c r="C136" s="129">
        <v>4805.01</v>
      </c>
      <c r="D136" s="125"/>
      <c r="E136" s="125"/>
      <c r="F136" s="126" t="e">
        <f>SUM(F124:F135)</f>
        <v>#REF!</v>
      </c>
      <c r="G136" s="126" t="e">
        <f>SUM(G124:G135)</f>
        <v>#REF!</v>
      </c>
      <c r="H136" s="126" t="e">
        <f>SUM(H124:H135)</f>
        <v>#REF!</v>
      </c>
      <c r="I136" s="126">
        <f>SUM(I124:I135)</f>
        <v>960</v>
      </c>
      <c r="J136" s="126" t="e">
        <f>SUM(J124:J135)</f>
        <v>#REF!</v>
      </c>
      <c r="K136" s="126" t="e">
        <f t="shared" si="30"/>
        <v>#REF!</v>
      </c>
      <c r="L136" s="130" t="e">
        <f>SUM(L124:L135)</f>
        <v>#REF!</v>
      </c>
    </row>
    <row r="138" spans="1:12" x14ac:dyDescent="0.2">
      <c r="I138" s="126"/>
    </row>
    <row r="139" spans="1:12" x14ac:dyDescent="0.2">
      <c r="A139" s="51" t="s">
        <v>111</v>
      </c>
      <c r="C139" s="102">
        <f>'Haustechnikvarianten berechnen'!B60</f>
        <v>17520</v>
      </c>
      <c r="E139" s="51" t="s">
        <v>111</v>
      </c>
      <c r="G139" s="102">
        <f>C139</f>
        <v>17520</v>
      </c>
      <c r="I139" s="51" t="s">
        <v>111</v>
      </c>
      <c r="K139" s="102">
        <f>G139</f>
        <v>17520</v>
      </c>
    </row>
    <row r="140" spans="1:12" x14ac:dyDescent="0.2">
      <c r="A140" s="51" t="s">
        <v>204</v>
      </c>
      <c r="C140">
        <f>'Haustechnikvarianten berechnen'!B61</f>
        <v>1600</v>
      </c>
      <c r="E140" s="51" t="s">
        <v>204</v>
      </c>
      <c r="G140">
        <f>C140</f>
        <v>1600</v>
      </c>
      <c r="I140" s="51" t="s">
        <v>204</v>
      </c>
      <c r="K140">
        <f>G140</f>
        <v>1600</v>
      </c>
    </row>
    <row r="141" spans="1:12" x14ac:dyDescent="0.2">
      <c r="A141" s="51" t="s">
        <v>200</v>
      </c>
      <c r="C141" s="142" t="e">
        <f>'Haustechnikvarianten berechnen'!#REF!</f>
        <v>#REF!</v>
      </c>
      <c r="E141" s="51" t="s">
        <v>200</v>
      </c>
      <c r="G141" s="142">
        <f>'Haustechnikvarianten berechnen'!C36</f>
        <v>3.8</v>
      </c>
      <c r="I141" s="51" t="s">
        <v>200</v>
      </c>
      <c r="K141" s="142">
        <f>'Haustechnikvarianten berechnen'!D36</f>
        <v>3.8</v>
      </c>
    </row>
    <row r="142" spans="1:12" x14ac:dyDescent="0.2">
      <c r="A142" s="51" t="s">
        <v>201</v>
      </c>
      <c r="C142">
        <f>10*ROUND(C140/18000,1)</f>
        <v>1</v>
      </c>
      <c r="E142" s="51" t="s">
        <v>215</v>
      </c>
      <c r="G142">
        <f>15*ROUND((G139+G140)/18000,2)</f>
        <v>15.9</v>
      </c>
      <c r="I142" s="51" t="s">
        <v>215</v>
      </c>
      <c r="K142">
        <f>15*ROUND((K139+K140)/18000,2)</f>
        <v>15.9</v>
      </c>
    </row>
    <row r="143" spans="1:12" x14ac:dyDescent="0.2">
      <c r="A143" s="51" t="s">
        <v>202</v>
      </c>
      <c r="C143">
        <f>10*ROUND(C142*(C140-1)/C140/0.05*1.3/10,0)</f>
        <v>30</v>
      </c>
      <c r="E143" s="51" t="s">
        <v>201</v>
      </c>
      <c r="G143">
        <f>10*ROUND((G140+G139)/18000,2)</f>
        <v>10.600000000000001</v>
      </c>
      <c r="I143" s="51" t="s">
        <v>201</v>
      </c>
      <c r="K143">
        <f>10*ROUND((K140+K139)/18000,2)</f>
        <v>10.600000000000001</v>
      </c>
    </row>
    <row r="144" spans="1:12" x14ac:dyDescent="0.2">
      <c r="E144" s="51" t="s">
        <v>217</v>
      </c>
      <c r="G144" s="4">
        <f>'Haustechnikvarianten berechnen'!C38</f>
        <v>0.8</v>
      </c>
      <c r="I144" s="51" t="s">
        <v>217</v>
      </c>
      <c r="K144" s="4">
        <f>'Haustechnikvarianten berechnen'!D38</f>
        <v>0.8</v>
      </c>
    </row>
    <row r="145" spans="5:11" x14ac:dyDescent="0.2">
      <c r="E145" s="51" t="s">
        <v>218</v>
      </c>
      <c r="G145">
        <f>10*ROUND((G139+G140)*G144/G141/10,0)</f>
        <v>4030</v>
      </c>
      <c r="I145" s="51" t="s">
        <v>218</v>
      </c>
      <c r="K145">
        <f>10*ROUND((K139+K140)*K144/K141/10,0)</f>
        <v>4030</v>
      </c>
    </row>
    <row r="146" spans="5:11" x14ac:dyDescent="0.2">
      <c r="E146" s="51" t="s">
        <v>219</v>
      </c>
      <c r="G146">
        <f>10*ROUND(G144*(G139+G140)/10,0)</f>
        <v>15300</v>
      </c>
      <c r="I146" s="51" t="s">
        <v>219</v>
      </c>
      <c r="K146">
        <f>10*ROUND(K144*(K139+K140)/10,0)</f>
        <v>15300</v>
      </c>
    </row>
    <row r="147" spans="5:11" x14ac:dyDescent="0.2">
      <c r="I147" s="51" t="s">
        <v>32</v>
      </c>
      <c r="K147">
        <f>10*ROUND((K139+K140-K146)/8,0)</f>
        <v>4780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Berechnung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2023-07-31T19:21:16Z</cp:lastPrinted>
  <dcterms:created xsi:type="dcterms:W3CDTF">2017-07-13T22:33:43Z</dcterms:created>
  <dcterms:modified xsi:type="dcterms:W3CDTF">2024-02-18T19:57:50Z</dcterms:modified>
</cp:coreProperties>
</file>