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Strom und Wärme\interaktive Tabellen\"/>
    </mc:Choice>
  </mc:AlternateContent>
  <xr:revisionPtr revIDLastSave="0" documentId="8_{12CC1561-CC8B-41F0-B3F1-9C5D77E0A723}" xr6:coauthVersionLast="47" xr6:coauthVersionMax="47" xr10:uidLastSave="{00000000-0000-0000-0000-000000000000}"/>
  <workbookProtection workbookAlgorithmName="SHA-512" workbookHashValue="6dTnTqzdIEvyAvPBkZ3VycDvDyCDzWsx9X0ITlo/mHdWExdDNS3BfLcuLJXLRve31lxvzUxIZkQLsiT0akEvbA==" workbookSaltValue="/r9h4ID6a5W57l7i1HPzVg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Berechnung" sheetId="5" state="hidden" r:id="rId3"/>
    <sheet name="Tabelle2" sheetId="2" r:id="rId4"/>
    <sheet name="Tabelle3" sheetId="3" r:id="rId5"/>
    <sheet name="Tabelle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4" l="1"/>
  <c r="D23" i="4"/>
  <c r="D20" i="4"/>
  <c r="D19" i="4"/>
  <c r="D18" i="4"/>
  <c r="D9" i="4"/>
  <c r="D8" i="4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B90" i="1"/>
  <c r="C119" i="4"/>
  <c r="D119" i="4"/>
  <c r="E119" i="4"/>
  <c r="F119" i="4"/>
  <c r="G119" i="4"/>
  <c r="B119" i="4"/>
  <c r="D74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8" i="1"/>
  <c r="X87" i="1"/>
  <c r="X86" i="1"/>
  <c r="W88" i="1"/>
  <c r="V88" i="1"/>
  <c r="U88" i="1"/>
  <c r="T88" i="1"/>
  <c r="S88" i="1"/>
  <c r="R88" i="1"/>
  <c r="Q88" i="1"/>
  <c r="P88" i="1"/>
  <c r="O88" i="1"/>
  <c r="N88" i="1"/>
  <c r="M88" i="1"/>
  <c r="W87" i="1"/>
  <c r="V87" i="1"/>
  <c r="U87" i="1"/>
  <c r="T87" i="1"/>
  <c r="S87" i="1"/>
  <c r="R87" i="1"/>
  <c r="Q87" i="1"/>
  <c r="P87" i="1"/>
  <c r="O87" i="1"/>
  <c r="N87" i="1"/>
  <c r="M87" i="1"/>
  <c r="W86" i="1"/>
  <c r="V86" i="1"/>
  <c r="U86" i="1"/>
  <c r="T86" i="1"/>
  <c r="S86" i="1"/>
  <c r="R86" i="1"/>
  <c r="Q86" i="1"/>
  <c r="P86" i="1"/>
  <c r="O86" i="1"/>
  <c r="N86" i="1"/>
  <c r="M86" i="1"/>
  <c r="L88" i="1"/>
  <c r="L87" i="1"/>
  <c r="L86" i="1"/>
  <c r="K87" i="1"/>
  <c r="J87" i="1"/>
  <c r="I87" i="1"/>
  <c r="H87" i="1"/>
  <c r="G87" i="1"/>
  <c r="F87" i="1"/>
  <c r="E87" i="1"/>
  <c r="D87" i="1"/>
  <c r="C87" i="1"/>
  <c r="B87" i="1"/>
  <c r="F83" i="4"/>
  <c r="F84" i="4" s="1"/>
  <c r="T80" i="1"/>
  <c r="P80" i="1"/>
  <c r="J80" i="1"/>
  <c r="F80" i="1"/>
  <c r="AJ80" i="1"/>
  <c r="AI80" i="1"/>
  <c r="AF80" i="1"/>
  <c r="AE80" i="1"/>
  <c r="AB80" i="1"/>
  <c r="AA80" i="1"/>
  <c r="W80" i="1"/>
  <c r="S80" i="1"/>
  <c r="O80" i="1"/>
  <c r="I80" i="1"/>
  <c r="E80" i="1"/>
  <c r="AH80" i="1"/>
  <c r="AG80" i="1"/>
  <c r="AD80" i="1"/>
  <c r="AC80" i="1"/>
  <c r="Z80" i="1"/>
  <c r="Y80" i="1"/>
  <c r="V80" i="1"/>
  <c r="U80" i="1"/>
  <c r="R80" i="1"/>
  <c r="Q80" i="1"/>
  <c r="N80" i="1"/>
  <c r="M80" i="1"/>
  <c r="K80" i="1"/>
  <c r="H80" i="1"/>
  <c r="G80" i="1"/>
  <c r="D80" i="1"/>
  <c r="C80" i="1"/>
  <c r="D34" i="4"/>
  <c r="D35" i="4"/>
  <c r="AJ81" i="1" l="1"/>
  <c r="AI81" i="1"/>
  <c r="AH81" i="1"/>
  <c r="AG81" i="1"/>
  <c r="AF81" i="1"/>
  <c r="AE81" i="1"/>
  <c r="AD81" i="1"/>
  <c r="AC81" i="1"/>
  <c r="AB81" i="1"/>
  <c r="AA81" i="1"/>
  <c r="Z81" i="1"/>
  <c r="Y81" i="1"/>
  <c r="W81" i="1"/>
  <c r="V81" i="1"/>
  <c r="U81" i="1"/>
  <c r="T81" i="1"/>
  <c r="S81" i="1"/>
  <c r="R81" i="1"/>
  <c r="Q81" i="1"/>
  <c r="P81" i="1"/>
  <c r="O81" i="1"/>
  <c r="N81" i="1"/>
  <c r="M81" i="1"/>
  <c r="D81" i="1"/>
  <c r="E81" i="1"/>
  <c r="F81" i="1"/>
  <c r="G81" i="1"/>
  <c r="H81" i="1"/>
  <c r="I81" i="1"/>
  <c r="J81" i="1"/>
  <c r="K81" i="1"/>
  <c r="C81" i="1"/>
  <c r="F58" i="4"/>
  <c r="F108" i="4" s="1"/>
  <c r="E58" i="4"/>
  <c r="E108" i="4" s="1"/>
  <c r="C58" i="4"/>
  <c r="C108" i="4" s="1"/>
  <c r="AJ82" i="1"/>
  <c r="AI82" i="1"/>
  <c r="AJ61" i="1"/>
  <c r="AI61" i="1"/>
  <c r="AJ45" i="1"/>
  <c r="AJ57" i="1" s="1"/>
  <c r="AJ62" i="1" s="1"/>
  <c r="AJ63" i="1" s="1"/>
  <c r="AI45" i="1"/>
  <c r="AI57" i="1" s="1"/>
  <c r="AI62" i="1" s="1"/>
  <c r="AI63" i="1" s="1"/>
  <c r="AI41" i="1"/>
  <c r="AJ41" i="1" s="1"/>
  <c r="AI40" i="1"/>
  <c r="AJ40" i="1" s="1"/>
  <c r="AI39" i="1"/>
  <c r="AJ39" i="1" s="1"/>
  <c r="AH82" i="1"/>
  <c r="AH61" i="1"/>
  <c r="AH57" i="1"/>
  <c r="AH62" i="1" s="1"/>
  <c r="AH63" i="1" s="1"/>
  <c r="AC82" i="1"/>
  <c r="F101" i="4"/>
  <c r="F100" i="4"/>
  <c r="G81" i="5" l="1"/>
  <c r="G79" i="5"/>
  <c r="G76" i="5"/>
  <c r="G64" i="5"/>
  <c r="G73" i="5" s="1"/>
  <c r="I168" i="5"/>
  <c r="G26" i="5"/>
  <c r="G20" i="5"/>
  <c r="I159" i="5" s="1"/>
  <c r="G109" i="4"/>
  <c r="G93" i="4"/>
  <c r="G65" i="5" s="1"/>
  <c r="G74" i="5" s="1"/>
  <c r="G58" i="4"/>
  <c r="G108" i="4" s="1"/>
  <c r="G67" i="4"/>
  <c r="G83" i="4" s="1"/>
  <c r="G84" i="4" s="1"/>
  <c r="G84" i="5" l="1"/>
  <c r="G87" i="5" s="1"/>
  <c r="G87" i="4"/>
  <c r="G94" i="4"/>
  <c r="G75" i="5" s="1"/>
  <c r="G60" i="4"/>
  <c r="G59" i="4"/>
  <c r="G53" i="4" s="1"/>
  <c r="G19" i="5" s="1"/>
  <c r="G83" i="5" l="1"/>
  <c r="G85" i="5" s="1"/>
  <c r="I160" i="5"/>
  <c r="G27" i="5"/>
  <c r="W82" i="1" l="1"/>
  <c r="W45" i="1"/>
  <c r="W41" i="1"/>
  <c r="W40" i="1"/>
  <c r="W39" i="1"/>
  <c r="V82" i="1"/>
  <c r="V57" i="1"/>
  <c r="U82" i="1"/>
  <c r="T82" i="1"/>
  <c r="S82" i="1"/>
  <c r="R82" i="1"/>
  <c r="Q82" i="1"/>
  <c r="P82" i="1"/>
  <c r="O82" i="1"/>
  <c r="N82" i="1"/>
  <c r="M82" i="1"/>
  <c r="M65" i="1"/>
  <c r="N65" i="1" s="1"/>
  <c r="O65" i="1" s="1"/>
  <c r="P65" i="1" s="1"/>
  <c r="M64" i="1"/>
  <c r="N64" i="1" s="1"/>
  <c r="O64" i="1" s="1"/>
  <c r="P64" i="1" s="1"/>
  <c r="U57" i="1"/>
  <c r="R57" i="1"/>
  <c r="Q57" i="1"/>
  <c r="N57" i="1"/>
  <c r="M57" i="1"/>
  <c r="T45" i="1"/>
  <c r="S45" i="1"/>
  <c r="P45" i="1"/>
  <c r="O45" i="1"/>
  <c r="S41" i="1"/>
  <c r="T41" i="1" s="1"/>
  <c r="O41" i="1"/>
  <c r="P41" i="1" s="1"/>
  <c r="S40" i="1"/>
  <c r="T40" i="1" s="1"/>
  <c r="O40" i="1"/>
  <c r="P40" i="1" s="1"/>
  <c r="S39" i="1"/>
  <c r="T39" i="1" s="1"/>
  <c r="O39" i="1"/>
  <c r="P39" i="1" s="1"/>
  <c r="AG82" i="1"/>
  <c r="AF82" i="1"/>
  <c r="AE82" i="1"/>
  <c r="AD82" i="1"/>
  <c r="AB82" i="1"/>
  <c r="AA82" i="1"/>
  <c r="Z82" i="1"/>
  <c r="Y82" i="1"/>
  <c r="Y65" i="1"/>
  <c r="Z65" i="1" s="1"/>
  <c r="AA65" i="1" s="1"/>
  <c r="AB65" i="1" s="1"/>
  <c r="Y64" i="1"/>
  <c r="Z64" i="1" s="1"/>
  <c r="AA64" i="1" s="1"/>
  <c r="AB64" i="1" s="1"/>
  <c r="AG61" i="1"/>
  <c r="AF61" i="1"/>
  <c r="AE61" i="1"/>
  <c r="AD61" i="1"/>
  <c r="AC61" i="1"/>
  <c r="AB61" i="1"/>
  <c r="AA61" i="1"/>
  <c r="Z61" i="1"/>
  <c r="Y61" i="1"/>
  <c r="AG57" i="1"/>
  <c r="AG62" i="1" s="1"/>
  <c r="AG63" i="1" s="1"/>
  <c r="AD57" i="1"/>
  <c r="AD62" i="1" s="1"/>
  <c r="AD63" i="1" s="1"/>
  <c r="AC57" i="1"/>
  <c r="AC62" i="1" s="1"/>
  <c r="AC63" i="1" s="1"/>
  <c r="Z57" i="1"/>
  <c r="Z62" i="1" s="1"/>
  <c r="Z63" i="1" s="1"/>
  <c r="Y57" i="1"/>
  <c r="Y62" i="1" s="1"/>
  <c r="Y63" i="1" s="1"/>
  <c r="AF45" i="1"/>
  <c r="AF57" i="1" s="1"/>
  <c r="AF62" i="1" s="1"/>
  <c r="AF63" i="1" s="1"/>
  <c r="AE45" i="1"/>
  <c r="AB45" i="1"/>
  <c r="AB57" i="1" s="1"/>
  <c r="AB62" i="1" s="1"/>
  <c r="AB63" i="1" s="1"/>
  <c r="AA45" i="1"/>
  <c r="AA57" i="1" s="1"/>
  <c r="AA62" i="1" s="1"/>
  <c r="AA63" i="1" s="1"/>
  <c r="AE41" i="1"/>
  <c r="AF41" i="1" s="1"/>
  <c r="AA41" i="1"/>
  <c r="AB41" i="1" s="1"/>
  <c r="AE40" i="1"/>
  <c r="AF40" i="1" s="1"/>
  <c r="AA40" i="1"/>
  <c r="AB40" i="1" s="1"/>
  <c r="AE39" i="1"/>
  <c r="AF39" i="1" s="1"/>
  <c r="AA39" i="1"/>
  <c r="AB39" i="1" s="1"/>
  <c r="K82" i="1"/>
  <c r="K57" i="1"/>
  <c r="B6" i="5"/>
  <c r="B7" i="5"/>
  <c r="G23" i="5" s="1"/>
  <c r="J82" i="1"/>
  <c r="I82" i="1"/>
  <c r="H82" i="1"/>
  <c r="G82" i="1"/>
  <c r="H57" i="1"/>
  <c r="G57" i="1"/>
  <c r="J45" i="1"/>
  <c r="I45" i="1"/>
  <c r="I41" i="1"/>
  <c r="J41" i="1" s="1"/>
  <c r="I40" i="1"/>
  <c r="J40" i="1" s="1"/>
  <c r="I39" i="1"/>
  <c r="J39" i="1" s="1"/>
  <c r="C66" i="5"/>
  <c r="D33" i="4"/>
  <c r="D32" i="4"/>
  <c r="D31" i="4"/>
  <c r="D79" i="4"/>
  <c r="E79" i="4" s="1"/>
  <c r="D57" i="1"/>
  <c r="L57" i="1"/>
  <c r="X57" i="1"/>
  <c r="C57" i="1"/>
  <c r="E41" i="1"/>
  <c r="F41" i="1" s="1"/>
  <c r="E40" i="1"/>
  <c r="F40" i="1" s="1"/>
  <c r="E39" i="1"/>
  <c r="F39" i="1" s="1"/>
  <c r="C65" i="1"/>
  <c r="D65" i="1" s="1"/>
  <c r="E65" i="1" s="1"/>
  <c r="F65" i="1" s="1"/>
  <c r="I65" i="1" s="1"/>
  <c r="J65" i="1" s="1"/>
  <c r="C64" i="1"/>
  <c r="D64" i="1" s="1"/>
  <c r="E64" i="1" s="1"/>
  <c r="F64" i="1" s="1"/>
  <c r="I64" i="1" s="1"/>
  <c r="J64" i="1" s="1"/>
  <c r="D82" i="1"/>
  <c r="C82" i="1"/>
  <c r="D61" i="1"/>
  <c r="C61" i="1"/>
  <c r="D62" i="1"/>
  <c r="D63" i="1" s="1"/>
  <c r="C62" i="1"/>
  <c r="C63" i="1" s="1"/>
  <c r="F26" i="5"/>
  <c r="E26" i="5"/>
  <c r="E20" i="5"/>
  <c r="G22" i="5" l="1"/>
  <c r="I57" i="1"/>
  <c r="I61" i="1"/>
  <c r="J57" i="1"/>
  <c r="J61" i="1"/>
  <c r="G61" i="1"/>
  <c r="G62" i="1" s="1"/>
  <c r="G63" i="1" s="1"/>
  <c r="H61" i="1"/>
  <c r="H62" i="1" s="1"/>
  <c r="H63" i="1" s="1"/>
  <c r="K61" i="1"/>
  <c r="K62" i="1" s="1"/>
  <c r="K63" i="1" s="1"/>
  <c r="O57" i="1"/>
  <c r="O61" i="1"/>
  <c r="P57" i="1"/>
  <c r="P61" i="1"/>
  <c r="S57" i="1"/>
  <c r="S61" i="1"/>
  <c r="T57" i="1"/>
  <c r="T61" i="1"/>
  <c r="V61" i="1"/>
  <c r="V62" i="1" s="1"/>
  <c r="V63" i="1" s="1"/>
  <c r="W57" i="1"/>
  <c r="W61" i="1"/>
  <c r="F79" i="4"/>
  <c r="G79" i="4" s="1"/>
  <c r="G80" i="4" s="1"/>
  <c r="G88" i="4" s="1"/>
  <c r="U61" i="1"/>
  <c r="U62" i="1" s="1"/>
  <c r="U63" i="1" s="1"/>
  <c r="R61" i="1"/>
  <c r="R62" i="1" s="1"/>
  <c r="R63" i="1" s="1"/>
  <c r="Q61" i="1"/>
  <c r="Q62" i="1" s="1"/>
  <c r="Q63" i="1" s="1"/>
  <c r="N61" i="1"/>
  <c r="N62" i="1" s="1"/>
  <c r="N63" i="1" s="1"/>
  <c r="M61" i="1"/>
  <c r="M62" i="1" s="1"/>
  <c r="M63" i="1" s="1"/>
  <c r="AE57" i="1"/>
  <c r="AE62" i="1" s="1"/>
  <c r="AE63" i="1" s="1"/>
  <c r="G28" i="5"/>
  <c r="B185" i="5"/>
  <c r="B178" i="5"/>
  <c r="F64" i="5"/>
  <c r="F81" i="5"/>
  <c r="E81" i="5"/>
  <c r="F79" i="5"/>
  <c r="E79" i="5"/>
  <c r="F76" i="5"/>
  <c r="E76" i="5"/>
  <c r="F69" i="5"/>
  <c r="E69" i="5"/>
  <c r="F73" i="5"/>
  <c r="E64" i="5"/>
  <c r="E73" i="5" s="1"/>
  <c r="F59" i="4"/>
  <c r="F53" i="4" s="1"/>
  <c r="F109" i="4"/>
  <c r="E109" i="4"/>
  <c r="F95" i="4"/>
  <c r="E95" i="4"/>
  <c r="E93" i="4"/>
  <c r="E65" i="5" s="1"/>
  <c r="E74" i="5" s="1"/>
  <c r="E103" i="4"/>
  <c r="F63" i="4"/>
  <c r="F62" i="4"/>
  <c r="F61" i="4"/>
  <c r="F93" i="4" s="1"/>
  <c r="E59" i="4"/>
  <c r="E53" i="4" s="1"/>
  <c r="F54" i="4"/>
  <c r="F20" i="5" s="1"/>
  <c r="F67" i="4"/>
  <c r="F80" i="4" s="1"/>
  <c r="E67" i="4"/>
  <c r="D63" i="4"/>
  <c r="D62" i="4"/>
  <c r="D61" i="4"/>
  <c r="W62" i="1" l="1"/>
  <c r="W63" i="1" s="1"/>
  <c r="T62" i="1"/>
  <c r="T63" i="1" s="1"/>
  <c r="S62" i="1"/>
  <c r="S63" i="1" s="1"/>
  <c r="P62" i="1"/>
  <c r="P63" i="1" s="1"/>
  <c r="O62" i="1"/>
  <c r="O63" i="1" s="1"/>
  <c r="J62" i="1"/>
  <c r="J63" i="1" s="1"/>
  <c r="I62" i="1"/>
  <c r="I63" i="1" s="1"/>
  <c r="E80" i="4"/>
  <c r="E83" i="4" s="1"/>
  <c r="E84" i="4" s="1"/>
  <c r="F65" i="5"/>
  <c r="F74" i="5" s="1"/>
  <c r="F94" i="4"/>
  <c r="E84" i="5"/>
  <c r="E87" i="5" s="1"/>
  <c r="E75" i="5"/>
  <c r="F84" i="5"/>
  <c r="F87" i="5" s="1"/>
  <c r="E87" i="4"/>
  <c r="E94" i="4"/>
  <c r="E60" i="4"/>
  <c r="E19" i="5"/>
  <c r="E27" i="5" s="1"/>
  <c r="E88" i="4" l="1"/>
  <c r="E83" i="5"/>
  <c r="E85" i="5" s="1"/>
  <c r="F75" i="5"/>
  <c r="F60" i="4"/>
  <c r="F19" i="5"/>
  <c r="F27" i="5" s="1"/>
  <c r="F83" i="5" l="1"/>
  <c r="F85" i="5" s="1"/>
  <c r="F87" i="4"/>
  <c r="F88" i="4" s="1"/>
  <c r="G155" i="5" l="1"/>
  <c r="G153" i="5"/>
  <c r="C59" i="4"/>
  <c r="C53" i="4" s="1"/>
  <c r="D28" i="4"/>
  <c r="D27" i="4"/>
  <c r="D26" i="4"/>
  <c r="D25" i="4"/>
  <c r="C60" i="4" l="1"/>
  <c r="F82" i="1"/>
  <c r="F45" i="1"/>
  <c r="F61" i="1" s="1"/>
  <c r="C26" i="5"/>
  <c r="C20" i="5"/>
  <c r="C159" i="5" s="1"/>
  <c r="B5" i="5"/>
  <c r="G21" i="5" s="1"/>
  <c r="I158" i="5" s="1"/>
  <c r="B4" i="5"/>
  <c r="F57" i="1" l="1"/>
  <c r="F62" i="1" s="1"/>
  <c r="F63" i="1" s="1"/>
  <c r="E9" i="5"/>
  <c r="C21" i="5"/>
  <c r="E21" i="5" s="1"/>
  <c r="E5" i="5"/>
  <c r="C22" i="5"/>
  <c r="E22" i="5" s="1"/>
  <c r="E28" i="5" s="1"/>
  <c r="B8" i="5"/>
  <c r="B11" i="5" s="1"/>
  <c r="E6" i="5"/>
  <c r="F22" i="5" s="1"/>
  <c r="C23" i="5"/>
  <c r="E23" i="5" s="1"/>
  <c r="E7" i="5"/>
  <c r="F23" i="5" s="1"/>
  <c r="C149" i="5" l="1"/>
  <c r="G24" i="5"/>
  <c r="F28" i="5"/>
  <c r="E10" i="5"/>
  <c r="F21" i="5"/>
  <c r="C158" i="5"/>
  <c r="I161" i="5" s="1"/>
  <c r="C24" i="5"/>
  <c r="E24" i="5" s="1"/>
  <c r="G32" i="5"/>
  <c r="E8" i="5"/>
  <c r="F24" i="5" s="1"/>
  <c r="C32" i="5" l="1"/>
  <c r="E32" i="5" s="1"/>
  <c r="E11" i="5"/>
  <c r="F32" i="5" s="1"/>
  <c r="E12" i="5" l="1"/>
  <c r="E13" i="5" s="1"/>
  <c r="C150" i="5" l="1"/>
  <c r="C168" i="5" s="1"/>
  <c r="D54" i="4"/>
  <c r="C19" i="5" l="1"/>
  <c r="B3" i="5"/>
  <c r="B9" i="5" s="1"/>
  <c r="B10" i="5" s="1"/>
  <c r="B12" i="5" s="1"/>
  <c r="B13" i="5" s="1"/>
  <c r="C160" i="5" l="1"/>
  <c r="C161" i="5" s="1"/>
  <c r="C27" i="5"/>
  <c r="C28" i="5"/>
  <c r="D24" i="4" l="1"/>
  <c r="E82" i="1"/>
  <c r="L82" i="1"/>
  <c r="X82" i="1"/>
  <c r="C109" i="4"/>
  <c r="D109" i="4"/>
  <c r="D76" i="5"/>
  <c r="E45" i="1"/>
  <c r="E57" i="1" l="1"/>
  <c r="E61" i="1"/>
  <c r="AJ84" i="1"/>
  <c r="AI84" i="1"/>
  <c r="AH83" i="1"/>
  <c r="AI83" i="1"/>
  <c r="AJ83" i="1"/>
  <c r="AH84" i="1"/>
  <c r="AC84" i="1"/>
  <c r="Y84" i="1"/>
  <c r="Y83" i="1"/>
  <c r="AC83" i="1"/>
  <c r="AG83" i="1"/>
  <c r="AG84" i="1"/>
  <c r="AF83" i="1"/>
  <c r="AF84" i="1"/>
  <c r="AE83" i="1"/>
  <c r="AE84" i="1"/>
  <c r="AD83" i="1"/>
  <c r="AD84" i="1"/>
  <c r="AB83" i="1"/>
  <c r="AB84" i="1"/>
  <c r="AA83" i="1"/>
  <c r="AA84" i="1"/>
  <c r="Z83" i="1"/>
  <c r="Z84" i="1"/>
  <c r="W84" i="1"/>
  <c r="W83" i="1"/>
  <c r="V84" i="1"/>
  <c r="V83" i="1"/>
  <c r="U84" i="1"/>
  <c r="M84" i="1"/>
  <c r="M83" i="1"/>
  <c r="U83" i="1"/>
  <c r="T83" i="1"/>
  <c r="T84" i="1"/>
  <c r="S83" i="1"/>
  <c r="S84" i="1"/>
  <c r="R83" i="1"/>
  <c r="R84" i="1"/>
  <c r="Q83" i="1"/>
  <c r="Q84" i="1"/>
  <c r="P83" i="1"/>
  <c r="P84" i="1"/>
  <c r="O83" i="1"/>
  <c r="O84" i="1"/>
  <c r="N83" i="1"/>
  <c r="N84" i="1"/>
  <c r="E62" i="1"/>
  <c r="E63" i="1" s="1"/>
  <c r="C76" i="5"/>
  <c r="D93" i="4"/>
  <c r="D68" i="4"/>
  <c r="C93" i="4"/>
  <c r="D22" i="4"/>
  <c r="D21" i="4"/>
  <c r="C65" i="5" l="1"/>
  <c r="C94" i="4"/>
  <c r="C64" i="5"/>
  <c r="D65" i="5"/>
  <c r="G150" i="5" l="1"/>
  <c r="B80" i="4"/>
  <c r="B87" i="4"/>
  <c r="B88" i="4"/>
  <c r="G89" i="4" s="1"/>
  <c r="B90" i="4"/>
  <c r="B91" i="4"/>
  <c r="C91" i="4" s="1"/>
  <c r="B85" i="1"/>
  <c r="C81" i="5"/>
  <c r="C79" i="5"/>
  <c r="C25" i="5" l="1"/>
  <c r="C90" i="4"/>
  <c r="E89" i="4"/>
  <c r="F89" i="4"/>
  <c r="D91" i="4"/>
  <c r="E91" i="4" s="1"/>
  <c r="F91" i="4" s="1"/>
  <c r="G91" i="4" s="1"/>
  <c r="D90" i="4"/>
  <c r="E90" i="4" s="1"/>
  <c r="F90" i="4" s="1"/>
  <c r="G90" i="4" s="1"/>
  <c r="E25" i="5"/>
  <c r="G149" i="5"/>
  <c r="C73" i="5"/>
  <c r="F103" i="4" l="1"/>
  <c r="C148" i="5"/>
  <c r="G148" i="5" s="1"/>
  <c r="B179" i="5"/>
  <c r="F25" i="5"/>
  <c r="E29" i="5"/>
  <c r="E30" i="5" s="1"/>
  <c r="E31" i="5" s="1"/>
  <c r="E33" i="5" s="1"/>
  <c r="C29" i="5"/>
  <c r="C30" i="5" s="1"/>
  <c r="C31" i="5" s="1"/>
  <c r="C33" i="5" s="1"/>
  <c r="C151" i="5"/>
  <c r="C153" i="5" s="1"/>
  <c r="G151" i="5"/>
  <c r="D45" i="4" s="1"/>
  <c r="G152" i="5"/>
  <c r="G154" i="5" s="1"/>
  <c r="F29" i="5" l="1"/>
  <c r="F30" i="5" s="1"/>
  <c r="F31" i="5" s="1"/>
  <c r="F33" i="5" s="1"/>
  <c r="G25" i="5"/>
  <c r="G29" i="5" s="1"/>
  <c r="G30" i="5" s="1"/>
  <c r="G31" i="5" s="1"/>
  <c r="G33" i="5" s="1"/>
  <c r="B186" i="5"/>
  <c r="B180" i="5"/>
  <c r="B181" i="5" s="1"/>
  <c r="E34" i="5"/>
  <c r="B187" i="5"/>
  <c r="B188" i="5" s="1"/>
  <c r="E99" i="4" s="1"/>
  <c r="F34" i="5"/>
  <c r="B182" i="5"/>
  <c r="F99" i="4" s="1"/>
  <c r="G156" i="5"/>
  <c r="G157" i="5"/>
  <c r="G158" i="5" s="1"/>
  <c r="D46" i="4" s="1"/>
  <c r="D67" i="4" s="1"/>
  <c r="D52" i="4"/>
  <c r="C34" i="5"/>
  <c r="C162" i="5"/>
  <c r="C166" i="5" s="1"/>
  <c r="C167" i="5" s="1"/>
  <c r="C127" i="5"/>
  <c r="C106" i="5"/>
  <c r="F127" i="5"/>
  <c r="H127" i="5" s="1"/>
  <c r="I162" i="5" l="1"/>
  <c r="I166" i="5" s="1"/>
  <c r="G34" i="5"/>
  <c r="D71" i="4"/>
  <c r="D58" i="4"/>
  <c r="D56" i="4"/>
  <c r="D60" i="4"/>
  <c r="F106" i="5"/>
  <c r="H106" i="5"/>
  <c r="F134" i="5"/>
  <c r="F135" i="5"/>
  <c r="F136" i="5"/>
  <c r="F137" i="5"/>
  <c r="F138" i="5"/>
  <c r="F139" i="5"/>
  <c r="F140" i="5"/>
  <c r="F141" i="5"/>
  <c r="F142" i="5"/>
  <c r="F143" i="5"/>
  <c r="F144" i="5"/>
  <c r="F133" i="5"/>
  <c r="F145" i="5"/>
  <c r="I145" i="5"/>
  <c r="F113" i="5"/>
  <c r="F114" i="5"/>
  <c r="F115" i="5"/>
  <c r="F116" i="5"/>
  <c r="F117" i="5"/>
  <c r="F118" i="5"/>
  <c r="F119" i="5"/>
  <c r="F120" i="5"/>
  <c r="F121" i="5"/>
  <c r="F122" i="5"/>
  <c r="F123" i="5"/>
  <c r="F112" i="5"/>
  <c r="D59" i="4" l="1"/>
  <c r="I167" i="5"/>
  <c r="I163" i="5"/>
  <c r="I165" i="5" s="1"/>
  <c r="I170" i="5" s="1"/>
  <c r="I171" i="5" s="1"/>
  <c r="D72" i="4"/>
  <c r="D108" i="4" s="1"/>
  <c r="D64" i="5"/>
  <c r="D94" i="4"/>
  <c r="D73" i="5"/>
  <c r="D75" i="5"/>
  <c r="D73" i="4"/>
  <c r="D80" i="4" s="1"/>
  <c r="D83" i="4" s="1"/>
  <c r="D84" i="4" s="1"/>
  <c r="C74" i="5"/>
  <c r="D74" i="5"/>
  <c r="F124" i="5"/>
  <c r="I172" i="5" l="1"/>
  <c r="I173" i="5" s="1"/>
  <c r="G92" i="4"/>
  <c r="I174" i="5"/>
  <c r="G45" i="4" s="1"/>
  <c r="I169" i="5"/>
  <c r="D84" i="5"/>
  <c r="C84" i="5"/>
  <c r="C75" i="5"/>
  <c r="G69" i="5" l="1"/>
  <c r="C83" i="5"/>
  <c r="C85" i="5" s="1"/>
  <c r="C87" i="5"/>
  <c r="D87" i="5"/>
  <c r="D87" i="4" l="1"/>
  <c r="D88" i="4" s="1"/>
  <c r="X62" i="1" l="1"/>
  <c r="B78" i="1"/>
  <c r="B82" i="1" s="1"/>
  <c r="C39" i="5"/>
  <c r="C38" i="5"/>
  <c r="E55" i="5"/>
  <c r="E56" i="5"/>
  <c r="E61" i="5"/>
  <c r="E57" i="5"/>
  <c r="E58" i="5" s="1"/>
  <c r="E59" i="5" s="1"/>
  <c r="E60" i="5" s="1"/>
  <c r="K84" i="1" l="1"/>
  <c r="K83" i="1"/>
  <c r="J84" i="1"/>
  <c r="I84" i="1"/>
  <c r="H84" i="1"/>
  <c r="G84" i="1"/>
  <c r="I83" i="1"/>
  <c r="J83" i="1"/>
  <c r="G83" i="1"/>
  <c r="H83" i="1"/>
  <c r="D84" i="1"/>
  <c r="C84" i="1"/>
  <c r="C83" i="1"/>
  <c r="D83" i="1"/>
  <c r="F84" i="1"/>
  <c r="F83" i="1"/>
  <c r="D14" i="4" l="1"/>
  <c r="B77" i="1"/>
  <c r="K89" i="1" l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K86" i="1"/>
  <c r="J86" i="1"/>
  <c r="I86" i="1"/>
  <c r="H86" i="1"/>
  <c r="G86" i="1"/>
  <c r="F86" i="1"/>
  <c r="E86" i="1"/>
  <c r="D86" i="1"/>
  <c r="C86" i="1"/>
  <c r="B88" i="1"/>
  <c r="B86" i="1"/>
  <c r="E83" i="1"/>
  <c r="E84" i="1"/>
  <c r="C41" i="5"/>
  <c r="C42" i="5" s="1"/>
  <c r="C40" i="5"/>
  <c r="C43" i="5" s="1"/>
  <c r="C44" i="5" s="1"/>
  <c r="D10" i="4" l="1"/>
  <c r="D7" i="4"/>
  <c r="D12" i="4"/>
  <c r="D11" i="4"/>
  <c r="D6" i="4"/>
  <c r="G17" i="4"/>
  <c r="G16" i="4"/>
  <c r="D17" i="4"/>
  <c r="D16" i="4"/>
  <c r="I109" i="5" l="1"/>
  <c r="K109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G133" i="5"/>
  <c r="G113" i="5"/>
  <c r="H113" i="5" s="1"/>
  <c r="G114" i="5"/>
  <c r="H114" i="5" s="1"/>
  <c r="G115" i="5"/>
  <c r="H115" i="5" s="1"/>
  <c r="G116" i="5"/>
  <c r="H116" i="5" s="1"/>
  <c r="G117" i="5"/>
  <c r="H117" i="5" s="1"/>
  <c r="G118" i="5"/>
  <c r="H118" i="5" s="1"/>
  <c r="G119" i="5"/>
  <c r="H119" i="5" s="1"/>
  <c r="G120" i="5"/>
  <c r="H120" i="5" s="1"/>
  <c r="G121" i="5"/>
  <c r="H121" i="5" s="1"/>
  <c r="G122" i="5"/>
  <c r="H122" i="5" s="1"/>
  <c r="G123" i="5"/>
  <c r="H123" i="5" s="1"/>
  <c r="G112" i="5"/>
  <c r="I130" i="5"/>
  <c r="K130" i="5" s="1"/>
  <c r="N130" i="5"/>
  <c r="J134" i="5" l="1"/>
  <c r="J135" i="5"/>
  <c r="J136" i="5"/>
  <c r="J137" i="5"/>
  <c r="J138" i="5"/>
  <c r="J139" i="5"/>
  <c r="J140" i="5"/>
  <c r="J141" i="5"/>
  <c r="J142" i="5"/>
  <c r="J143" i="5"/>
  <c r="J144" i="5"/>
  <c r="J133" i="5"/>
  <c r="J145" i="5" s="1"/>
  <c r="G124" i="5"/>
  <c r="H112" i="5"/>
  <c r="H124" i="5" s="1"/>
  <c r="G145" i="5"/>
  <c r="H133" i="5"/>
  <c r="K134" i="5"/>
  <c r="L134" i="5" s="1"/>
  <c r="K135" i="5"/>
  <c r="L135" i="5" s="1"/>
  <c r="K136" i="5"/>
  <c r="L136" i="5" s="1"/>
  <c r="K137" i="5"/>
  <c r="L137" i="5" s="1"/>
  <c r="K138" i="5"/>
  <c r="L138" i="5" s="1"/>
  <c r="K139" i="5"/>
  <c r="L139" i="5" s="1"/>
  <c r="K140" i="5"/>
  <c r="L140" i="5" s="1"/>
  <c r="K141" i="5"/>
  <c r="L141" i="5" s="1"/>
  <c r="K142" i="5"/>
  <c r="L142" i="5" s="1"/>
  <c r="K143" i="5"/>
  <c r="L143" i="5" s="1"/>
  <c r="K144" i="5"/>
  <c r="L144" i="5" s="1"/>
  <c r="B102" i="4"/>
  <c r="D92" i="4" l="1"/>
  <c r="B114" i="4"/>
  <c r="D81" i="5"/>
  <c r="D83" i="5" s="1"/>
  <c r="K133" i="5"/>
  <c r="L133" i="5" s="1"/>
  <c r="L145" i="5" s="1"/>
  <c r="H145" i="5"/>
  <c r="K145" i="5" s="1"/>
  <c r="B106" i="4"/>
  <c r="B111" i="4" s="1"/>
  <c r="B105" i="4"/>
  <c r="F98" i="4" l="1"/>
  <c r="F97" i="4"/>
  <c r="E115" i="4"/>
  <c r="F115" i="4"/>
  <c r="D69" i="5"/>
  <c r="D79" i="5"/>
  <c r="D85" i="5" s="1"/>
  <c r="D13" i="4" l="1"/>
  <c r="D15" i="4" l="1"/>
  <c r="D30" i="4" l="1"/>
  <c r="B57" i="1" l="1"/>
  <c r="D89" i="4" l="1"/>
  <c r="B62" i="1"/>
  <c r="X63" i="1"/>
  <c r="L63" i="1"/>
  <c r="C77" i="5" l="1"/>
  <c r="C86" i="5"/>
  <c r="C88" i="5"/>
  <c r="D66" i="5" l="1"/>
  <c r="E66" i="5" s="1"/>
  <c r="D77" i="5"/>
  <c r="D86" i="5" s="1"/>
  <c r="D88" i="5" s="1"/>
  <c r="C92" i="5"/>
  <c r="C89" i="5"/>
  <c r="C90" i="5" s="1"/>
  <c r="D92" i="5"/>
  <c r="D89" i="5"/>
  <c r="D90" i="5" s="1"/>
  <c r="E77" i="5" l="1"/>
  <c r="F66" i="5"/>
  <c r="D91" i="5"/>
  <c r="D93" i="5"/>
  <c r="C91" i="5"/>
  <c r="C93" i="5"/>
  <c r="F77" i="5" l="1"/>
  <c r="G66" i="5"/>
  <c r="G77" i="5" s="1"/>
  <c r="F89" i="5"/>
  <c r="F90" i="5" s="1"/>
  <c r="F86" i="5"/>
  <c r="F88" i="5" s="1"/>
  <c r="F92" i="5"/>
  <c r="E89" i="5"/>
  <c r="E90" i="5" s="1"/>
  <c r="E86" i="5"/>
  <c r="E88" i="5" s="1"/>
  <c r="E92" i="5"/>
  <c r="C96" i="5"/>
  <c r="C97" i="5" s="1"/>
  <c r="C98" i="5"/>
  <c r="D96" i="5"/>
  <c r="D97" i="5" s="1"/>
  <c r="D98" i="5"/>
  <c r="G89" i="5" l="1"/>
  <c r="G90" i="5" s="1"/>
  <c r="G86" i="5"/>
  <c r="G88" i="5" s="1"/>
  <c r="G92" i="5"/>
  <c r="E93" i="5"/>
  <c r="E91" i="5"/>
  <c r="F93" i="5"/>
  <c r="F91" i="5"/>
  <c r="D101" i="5"/>
  <c r="D102" i="5"/>
  <c r="D96" i="4" s="1"/>
  <c r="D102" i="4" s="1"/>
  <c r="D103" i="5"/>
  <c r="C102" i="5"/>
  <c r="C96" i="4" s="1"/>
  <c r="D95" i="4" l="1"/>
  <c r="G93" i="5"/>
  <c r="G91" i="5"/>
  <c r="C102" i="4"/>
  <c r="C116" i="4" s="1"/>
  <c r="F96" i="5"/>
  <c r="F97" i="5" s="1"/>
  <c r="F98" i="5"/>
  <c r="E96" i="5"/>
  <c r="E97" i="5" s="1"/>
  <c r="E98" i="5"/>
  <c r="D116" i="4"/>
  <c r="D104" i="4" l="1"/>
  <c r="D107" i="4" s="1"/>
  <c r="D103" i="4"/>
  <c r="G96" i="5"/>
  <c r="G97" i="5" s="1"/>
  <c r="E102" i="5"/>
  <c r="E101" i="5"/>
  <c r="E103" i="5"/>
  <c r="F102" i="5"/>
  <c r="F96" i="4" s="1"/>
  <c r="F102" i="4" s="1"/>
  <c r="F101" i="5"/>
  <c r="F103" i="5"/>
  <c r="F104" i="4" s="1"/>
  <c r="C163" i="5"/>
  <c r="C165" i="5" s="1"/>
  <c r="D114" i="4"/>
  <c r="D115" i="4" l="1"/>
  <c r="D105" i="4"/>
  <c r="D106" i="4"/>
  <c r="G98" i="5"/>
  <c r="F107" i="4"/>
  <c r="E104" i="4"/>
  <c r="E107" i="4" s="1"/>
  <c r="E96" i="4"/>
  <c r="E102" i="4" s="1"/>
  <c r="E105" i="4"/>
  <c r="E106" i="4"/>
  <c r="F114" i="4"/>
  <c r="F105" i="4"/>
  <c r="F106" i="4"/>
  <c r="F116" i="4"/>
  <c r="F118" i="4" l="1"/>
  <c r="F117" i="4"/>
  <c r="E117" i="4"/>
  <c r="E118" i="4"/>
  <c r="D117" i="4"/>
  <c r="D118" i="4"/>
  <c r="F111" i="4"/>
  <c r="E111" i="4"/>
  <c r="D111" i="4"/>
  <c r="G102" i="5"/>
  <c r="G96" i="4" s="1"/>
  <c r="G102" i="4" s="1"/>
  <c r="G116" i="4" s="1"/>
  <c r="G101" i="5"/>
  <c r="G95" i="4" s="1"/>
  <c r="G103" i="4" s="1"/>
  <c r="E116" i="4"/>
  <c r="E114" i="4"/>
  <c r="E112" i="4"/>
  <c r="E113" i="4"/>
  <c r="F112" i="4"/>
  <c r="F113" i="4"/>
  <c r="C174" i="5"/>
  <c r="C170" i="5"/>
  <c r="C171" i="5" s="1"/>
  <c r="C169" i="5"/>
  <c r="D112" i="4" l="1"/>
  <c r="D113" i="4"/>
  <c r="G115" i="4"/>
  <c r="G106" i="4"/>
  <c r="G103" i="5"/>
  <c r="G104" i="4" s="1"/>
  <c r="C172" i="5"/>
  <c r="C173" i="5" s="1"/>
  <c r="C92" i="4"/>
  <c r="C175" i="5"/>
  <c r="C46" i="4" s="1"/>
  <c r="C67" i="4" s="1"/>
  <c r="C83" i="4" s="1"/>
  <c r="C84" i="4" s="1"/>
  <c r="C45" i="4"/>
  <c r="C80" i="4" l="1"/>
  <c r="G107" i="4"/>
  <c r="G114" i="4"/>
  <c r="G105" i="4"/>
  <c r="G111" i="4"/>
  <c r="C69" i="5"/>
  <c r="C101" i="5" s="1"/>
  <c r="G117" i="4" l="1"/>
  <c r="G118" i="4"/>
  <c r="G112" i="4"/>
  <c r="G113" i="4"/>
  <c r="C87" i="4"/>
  <c r="C103" i="5"/>
  <c r="C104" i="4" s="1"/>
  <c r="C107" i="4" s="1"/>
  <c r="C95" i="4"/>
  <c r="C103" i="4" s="1"/>
  <c r="C115" i="4" s="1"/>
  <c r="C88" i="4"/>
  <c r="C89" i="4" s="1"/>
  <c r="C114" i="4" l="1"/>
  <c r="C105" i="4"/>
  <c r="C106" i="4"/>
  <c r="C117" i="4" l="1"/>
  <c r="C118" i="4"/>
  <c r="C111" i="4"/>
  <c r="C113" i="4"/>
  <c r="C112" i="4"/>
</calcChain>
</file>

<file path=xl/sharedStrings.xml><?xml version="1.0" encoding="utf-8"?>
<sst xmlns="http://schemas.openxmlformats.org/spreadsheetml/2006/main" count="751" uniqueCount="341">
  <si>
    <t>Bezeichnung</t>
  </si>
  <si>
    <t>Investition</t>
  </si>
  <si>
    <t>Kosteneinsparung nach 20 Jahren</t>
  </si>
  <si>
    <t>Autarkie Wärme</t>
  </si>
  <si>
    <t>Autarkie Strom</t>
  </si>
  <si>
    <t>Förderung</t>
  </si>
  <si>
    <t>Solarthermie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</si>
  <si>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</si>
  <si>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</si>
  <si>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</si>
  <si>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</si>
  <si>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</si>
  <si>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</si>
  <si>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</si>
  <si>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</si>
  <si>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</si>
  <si>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Amortisationszeit (a - Jahre)</t>
  </si>
  <si>
    <t>CO2 (t/a - Tonnen pro Jahr)</t>
  </si>
  <si>
    <t>Endenergie (kWh/a - kWh pro Jahr)</t>
  </si>
  <si>
    <t>Gaspreis</t>
  </si>
  <si>
    <t>Strompreis</t>
  </si>
  <si>
    <t>Cent/kWh</t>
  </si>
  <si>
    <t>Strom</t>
  </si>
  <si>
    <t>Holzpreis</t>
  </si>
  <si>
    <t>Pelletpreis</t>
  </si>
  <si>
    <t>€/ rm</t>
  </si>
  <si>
    <t>€/ t</t>
  </si>
  <si>
    <t>kWh/rm</t>
  </si>
  <si>
    <t>kWh/t</t>
  </si>
  <si>
    <t>CO2-Faktoren:</t>
  </si>
  <si>
    <t>Gas</t>
  </si>
  <si>
    <t>Holz</t>
  </si>
  <si>
    <t>Pellet</t>
  </si>
  <si>
    <t>kg/kWh</t>
  </si>
  <si>
    <t>Ausgangswerte:</t>
  </si>
  <si>
    <t>Ist-Zustand</t>
  </si>
  <si>
    <t>Brennstofflager</t>
  </si>
  <si>
    <t>Wasserspeicher</t>
  </si>
  <si>
    <t>Instandhaltungsanteil</t>
  </si>
  <si>
    <t>Ölpreis</t>
  </si>
  <si>
    <t>Öl</t>
  </si>
  <si>
    <t>Energiekosten pro Jahr</t>
  </si>
  <si>
    <t>Wartungskosten etc. pro Jahr</t>
  </si>
  <si>
    <t>Betriebskosten pro Jahr</t>
  </si>
  <si>
    <t>Strom pro Jahr</t>
  </si>
  <si>
    <t>Investition im Vergleich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</si>
  <si>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</si>
  <si>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</si>
  <si>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</si>
  <si>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</si>
  <si>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</si>
  <si>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</si>
  <si>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</si>
  <si>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Ölverbrauch</t>
  </si>
  <si>
    <t>Liter</t>
  </si>
  <si>
    <t>In diesen Feldern stehen die im Ratgeber dokumentierten Vorgabewerte</t>
  </si>
  <si>
    <t>grüne Schriftfarbe</t>
  </si>
  <si>
    <t>rote Schriftfarbe</t>
  </si>
  <si>
    <t>Bei dieser Varianten ist die Investition geringer als im Ist-Zustand</t>
  </si>
  <si>
    <t>In dieser Zeile ist die Variante ungünstiger als der Ist-Zustand</t>
  </si>
  <si>
    <t>Bitte eigene Werte eintragen</t>
  </si>
  <si>
    <t>Förderfähig für BEG EM</t>
  </si>
  <si>
    <t>Förderung BEG EM</t>
  </si>
  <si>
    <t xml:space="preserve">sonstige Förderung </t>
  </si>
  <si>
    <t>Sonstige Förderung</t>
  </si>
  <si>
    <t>Förderung Land/ Kommune</t>
  </si>
  <si>
    <t>Heizwärme pro Jahr</t>
  </si>
  <si>
    <t>Warmwasserbereitung pro Jahr</t>
  </si>
  <si>
    <t>kWh</t>
  </si>
  <si>
    <t>Autarkie Gesamt: mindestens 50 Prozent</t>
  </si>
  <si>
    <t>Gasverbrauch</t>
  </si>
  <si>
    <t>Energie für Warmwasser (aus Tab.1)</t>
  </si>
  <si>
    <t>Verluste Warmwasser (aus Tab1)</t>
  </si>
  <si>
    <t>Scheitholzverbrauch</t>
  </si>
  <si>
    <t>Pelletverbrauch</t>
  </si>
  <si>
    <t>Heizstromverbrauch</t>
  </si>
  <si>
    <t>rm</t>
  </si>
  <si>
    <t>t</t>
  </si>
  <si>
    <t>Heizstrompreis</t>
  </si>
  <si>
    <t>Erdgas pro Jahr</t>
  </si>
  <si>
    <t xml:space="preserve">                            1,4 €/ Liter</t>
  </si>
  <si>
    <t xml:space="preserve">                            12,0 ct/kWh</t>
  </si>
  <si>
    <t xml:space="preserve">                            40,0 ct/kWh</t>
  </si>
  <si>
    <t xml:space="preserve">                          4000 kWh/a</t>
  </si>
  <si>
    <t>Wirkungsgrad Heizung (Brennwert)</t>
  </si>
  <si>
    <t>€/Liter</t>
  </si>
  <si>
    <t>Neubauvorhaben</t>
  </si>
  <si>
    <t>a</t>
  </si>
  <si>
    <t>n oder a eingeben</t>
  </si>
  <si>
    <t>Vorlauftemperatur</t>
  </si>
  <si>
    <t>Röhrenkollektor</t>
  </si>
  <si>
    <t>Luftkollektor</t>
  </si>
  <si>
    <t>Fläche</t>
  </si>
  <si>
    <t>Brauchwasser Anlage Flachkollektor</t>
  </si>
  <si>
    <t>Ertrag</t>
  </si>
  <si>
    <t>Solarertrag</t>
  </si>
  <si>
    <t>Öl pro Jahr</t>
  </si>
  <si>
    <t>Scheitholz pro Jahr</t>
  </si>
  <si>
    <t>Pellet pro Jahr</t>
  </si>
  <si>
    <t>Heizstrom pro Jahr</t>
  </si>
  <si>
    <t>Faktor</t>
  </si>
  <si>
    <t>Globalstrahlung</t>
  </si>
  <si>
    <t>kWh/m²a</t>
  </si>
  <si>
    <t>Globalstarhlung</t>
  </si>
  <si>
    <t>korr Solarertrag</t>
  </si>
  <si>
    <t>WW</t>
  </si>
  <si>
    <t>Heizungsunterstützung Flachkollektor</t>
  </si>
  <si>
    <t>Vorlauftemp</t>
  </si>
  <si>
    <t>Eingangsdaten:</t>
  </si>
  <si>
    <t xml:space="preserve"> WW</t>
  </si>
  <si>
    <t>Heizwärme</t>
  </si>
  <si>
    <t>VL</t>
  </si>
  <si>
    <t>Kolektorart</t>
  </si>
  <si>
    <t>Flach</t>
  </si>
  <si>
    <t>Röhre</t>
  </si>
  <si>
    <t>Luft</t>
  </si>
  <si>
    <t>Ausgabe</t>
  </si>
  <si>
    <t>Ertrag/m2</t>
  </si>
  <si>
    <t>Wenn Luft</t>
  </si>
  <si>
    <t>Wenn Flach</t>
  </si>
  <si>
    <t>wenn 4 p</t>
  </si>
  <si>
    <t>wenn wenig Heizung</t>
  </si>
  <si>
    <t>NT-Hzg</t>
  </si>
  <si>
    <t>nur WW</t>
  </si>
  <si>
    <t>Korr WW</t>
  </si>
  <si>
    <t>Korr Hzg</t>
  </si>
  <si>
    <t>Brauchwasser und</t>
  </si>
  <si>
    <t>E7 PV</t>
  </si>
  <si>
    <t>E10 spez Ertrag</t>
  </si>
  <si>
    <t>E11 Stromerz</t>
  </si>
  <si>
    <t>E13 Speicher</t>
  </si>
  <si>
    <t>U 24 Haushalt</t>
  </si>
  <si>
    <t>U 18 DLE</t>
  </si>
  <si>
    <t>U19 WW sonst</t>
  </si>
  <si>
    <t>U20 WP</t>
  </si>
  <si>
    <t>U21 Ehzg</t>
  </si>
  <si>
    <t>E112 nutzb Heizen</t>
  </si>
  <si>
    <t>E113 PV korr</t>
  </si>
  <si>
    <t>E114 V mit min</t>
  </si>
  <si>
    <t>E115 V ohne min</t>
  </si>
  <si>
    <t>E116 Faktor</t>
  </si>
  <si>
    <t>E117  Vdirekt</t>
  </si>
  <si>
    <t>E118 V über Batt</t>
  </si>
  <si>
    <t>E119 Batterieeffekt</t>
  </si>
  <si>
    <t>E120 Eigenverbrgrad</t>
  </si>
  <si>
    <t>E121 E zu V</t>
  </si>
  <si>
    <t>E122 Eigenverbr ohne Batt</t>
  </si>
  <si>
    <t>E124 Speicherv</t>
  </si>
  <si>
    <t>E125 Mehrnutzen Batt</t>
  </si>
  <si>
    <t>E126 Speicherv</t>
  </si>
  <si>
    <t>E127 Eigenverbr</t>
  </si>
  <si>
    <t>Variante 7 a</t>
  </si>
  <si>
    <t>Variante 7 c</t>
  </si>
  <si>
    <t>Erd-Wärmepumpe</t>
  </si>
  <si>
    <t>ct/kWh</t>
  </si>
  <si>
    <t>Wärmepumpenstrompreis</t>
  </si>
  <si>
    <t>Dortmund, Globalstr 1000 kWh/m²</t>
  </si>
  <si>
    <t>5 kWp</t>
  </si>
  <si>
    <t>kWh/d</t>
  </si>
  <si>
    <t>Warmwasser</t>
  </si>
  <si>
    <t>kWh/Mon</t>
  </si>
  <si>
    <t>Monat</t>
  </si>
  <si>
    <t>Tage</t>
  </si>
  <si>
    <t>Em(5kWp)</t>
  </si>
  <si>
    <t>Pmax (kW)</t>
  </si>
  <si>
    <t>Tageslänge</t>
  </si>
  <si>
    <t>Deckung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</si>
  <si>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</si>
  <si>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</si>
  <si>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</si>
  <si>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</si>
  <si>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</si>
  <si>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</si>
  <si>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</si>
  <si>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</si>
  <si>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</si>
  <si>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</si>
  <si>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</si>
  <si>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</si>
  <si>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</si>
  <si>
    <t>p</t>
  </si>
  <si>
    <t>Em</t>
  </si>
  <si>
    <t>Warmw</t>
  </si>
  <si>
    <t>Wärme</t>
  </si>
  <si>
    <t>GTZ</t>
  </si>
  <si>
    <t>Heizw</t>
  </si>
  <si>
    <t>PV</t>
  </si>
  <si>
    <t>spez Ertrag</t>
  </si>
  <si>
    <t>Haushalt</t>
  </si>
  <si>
    <t>ww</t>
  </si>
  <si>
    <t>HZg</t>
  </si>
  <si>
    <t>Strom für ww</t>
  </si>
  <si>
    <t>Strom für Haush</t>
  </si>
  <si>
    <t>Stromeinspeisung</t>
  </si>
  <si>
    <t>Jahresarbeitszahl (JAZ)</t>
  </si>
  <si>
    <t>Wärmepumpenstrom pro Jahr</t>
  </si>
  <si>
    <t>Leistung Wärmepumpe</t>
  </si>
  <si>
    <t>Jahresarbeitszahl</t>
  </si>
  <si>
    <t>JAZ</t>
  </si>
  <si>
    <t>Leistung WP</t>
  </si>
  <si>
    <t>Sondenlänge</t>
  </si>
  <si>
    <t>Erdsonde</t>
  </si>
  <si>
    <t>WW Nutz</t>
  </si>
  <si>
    <t>Sondenlänge gesamt</t>
  </si>
  <si>
    <t>Einspeisevergütung bis 10 kWp</t>
  </si>
  <si>
    <t>Einspeisevergütung über 10 kWp</t>
  </si>
  <si>
    <t>Leistung Photovoltaik</t>
  </si>
  <si>
    <t>Einspeisevergütung</t>
  </si>
  <si>
    <t>Faktor Verschattung</t>
  </si>
  <si>
    <t>Wirkungsgrad</t>
  </si>
  <si>
    <t>spezifischer Solarertrag</t>
  </si>
  <si>
    <t>Solarertrag pro Jahr</t>
  </si>
  <si>
    <t>Davon für Haushaltsstrom</t>
  </si>
  <si>
    <t>Davon für Wärmepumpe</t>
  </si>
  <si>
    <t xml:space="preserve"> Rest Wärmepumpenstrom pro Jahr</t>
  </si>
  <si>
    <t>Strom für WP</t>
  </si>
  <si>
    <t>WP</t>
  </si>
  <si>
    <t>Stromeinspeisung pro Jahr</t>
  </si>
  <si>
    <t>Einspeiseerlös pro Jahr</t>
  </si>
  <si>
    <t>Sonstige Betriebskosten</t>
  </si>
  <si>
    <t>Batterieersatz pro Jahr</t>
  </si>
  <si>
    <t>Maximale Dachfläche</t>
  </si>
  <si>
    <t>m²</t>
  </si>
  <si>
    <t>Fläche Kollektor</t>
  </si>
  <si>
    <t>Variante 11 a</t>
  </si>
  <si>
    <t>Benötigte Dachfläche</t>
  </si>
  <si>
    <t>Korrigierte Fläche Kollektor</t>
  </si>
  <si>
    <t>Korrigierte Leistung Photovoltaik</t>
  </si>
  <si>
    <t>Benötigte Umweltwärme</t>
  </si>
  <si>
    <t>Fläche PVT</t>
  </si>
  <si>
    <t>WWVerl</t>
  </si>
  <si>
    <t>WWNutz</t>
  </si>
  <si>
    <t>Verbl WW</t>
  </si>
  <si>
    <t>Einsparung</t>
  </si>
  <si>
    <t>Verbl. WW</t>
  </si>
  <si>
    <t>9c - 1</t>
  </si>
  <si>
    <t>Einstrahlung</t>
  </si>
  <si>
    <t>Rest</t>
  </si>
  <si>
    <t>Nutzungsfaktor</t>
  </si>
  <si>
    <t>zusätzlich verfügbar</t>
  </si>
  <si>
    <t>Wärme - Einsp</t>
  </si>
  <si>
    <t>Wärme - St zusätzl</t>
  </si>
  <si>
    <t>JAZ korr</t>
  </si>
  <si>
    <t>DJAZ</t>
  </si>
  <si>
    <t>Restwärme</t>
  </si>
  <si>
    <t>Max Dachfl</t>
  </si>
  <si>
    <t>Fläche PVTkorr</t>
  </si>
  <si>
    <t>PVT-Kollektoren</t>
  </si>
  <si>
    <t>weitere Photovoltaik</t>
  </si>
  <si>
    <t>Zusätzliche Leistung Photovoltaik</t>
  </si>
  <si>
    <t>Variante 11 b</t>
  </si>
  <si>
    <t>Fläche Kollektor bzw. PVT-Kollektor</t>
  </si>
  <si>
    <t>davon PVT-Kollektor</t>
  </si>
  <si>
    <t>Variante 11 a - 1</t>
  </si>
  <si>
    <t>Variante 11 a - 2</t>
  </si>
  <si>
    <t>Variante 11 b - 1</t>
  </si>
  <si>
    <t>Variante 11 a - 3</t>
  </si>
  <si>
    <t>voltaik + Speicher</t>
  </si>
  <si>
    <t>Heizung +  Solar-</t>
  </si>
  <si>
    <t>thermie + Photo-</t>
  </si>
  <si>
    <t>Variante 11 b - 2</t>
  </si>
  <si>
    <t>Heizung + PVT-</t>
  </si>
  <si>
    <t>Kollektor + Photo-</t>
  </si>
  <si>
    <t>WärmePVT/m²</t>
  </si>
  <si>
    <t>spezifische Leistung Photovoltaik</t>
  </si>
  <si>
    <t>W/m²</t>
  </si>
  <si>
    <t>Spezifische Leistung PVT elektrisch</t>
  </si>
  <si>
    <t>Spezifische Leistung PVT thermisch</t>
  </si>
  <si>
    <t>W/m³</t>
  </si>
  <si>
    <t>Spezifischer Preis PVT</t>
  </si>
  <si>
    <t>€/m²</t>
  </si>
  <si>
    <t>W/m131</t>
  </si>
  <si>
    <t>W/m132</t>
  </si>
  <si>
    <t>Tabelle 12:</t>
  </si>
  <si>
    <t>zu Kapitel 4, Holzheizung, Wärmepumpe und thermische Solaranlage und Photovoltaik</t>
  </si>
  <si>
    <t xml:space="preserve">Wikungsgrad (Brennwert) Ofen/ Kessel </t>
  </si>
  <si>
    <t>Variante 13 a</t>
  </si>
  <si>
    <t>Variante 13 b</t>
  </si>
  <si>
    <t>Scheitholzkessel</t>
  </si>
  <si>
    <t>Scheitholzofen</t>
  </si>
  <si>
    <t>Holzofen</t>
  </si>
  <si>
    <t>Nutzwärme</t>
  </si>
  <si>
    <t>Holzwärme</t>
  </si>
  <si>
    <t>Verbrauch</t>
  </si>
  <si>
    <t>Holzkessel</t>
  </si>
  <si>
    <t>€/rm</t>
  </si>
  <si>
    <t>Variante 13 a - 1</t>
  </si>
  <si>
    <t>Variante 13 a - 2</t>
  </si>
  <si>
    <t>Kessel</t>
  </si>
  <si>
    <t>Ofen</t>
  </si>
  <si>
    <t>Energiesparpaket</t>
  </si>
  <si>
    <t>Energiesparen bei Heizung</t>
  </si>
  <si>
    <t>Energiesparen bei Warmwasser</t>
  </si>
  <si>
    <t>Energiesparen bei Strom</t>
  </si>
  <si>
    <t>Variante 13 a - 3</t>
  </si>
  <si>
    <t>Variante 13 a - 4</t>
  </si>
  <si>
    <t>Variante 13 a - 5</t>
  </si>
  <si>
    <t>Variante 13 a - 6</t>
  </si>
  <si>
    <t>Variante 11 c</t>
  </si>
  <si>
    <t>Zentralgerät</t>
  </si>
  <si>
    <t>Variante 13 b - 1</t>
  </si>
  <si>
    <t>Variante 13 b - 2</t>
  </si>
  <si>
    <t>Variante 11 c - 1</t>
  </si>
  <si>
    <t xml:space="preserve">Heizung </t>
  </si>
  <si>
    <t xml:space="preserve"> + Photovoltaik</t>
  </si>
  <si>
    <t xml:space="preserve"> + Speicher</t>
  </si>
  <si>
    <t>Variante 11 c - 2</t>
  </si>
  <si>
    <t>Variante 13 b - 3</t>
  </si>
  <si>
    <t>Variante 13 b - 4</t>
  </si>
  <si>
    <t>Variante 11 c - 3</t>
  </si>
  <si>
    <t>Variante 11 c - 4</t>
  </si>
  <si>
    <t>Variante 13 b - 5</t>
  </si>
  <si>
    <t>Variante 13 b - 6</t>
  </si>
  <si>
    <t>Variante 11 c - 5</t>
  </si>
  <si>
    <t>Variante 11 c - 6</t>
  </si>
  <si>
    <t>Haushalt A</t>
  </si>
  <si>
    <t>Haushalt B</t>
  </si>
  <si>
    <t>Haushalt C</t>
  </si>
  <si>
    <t>Wartungskosten</t>
  </si>
  <si>
    <t>%</t>
  </si>
  <si>
    <t>Die Förderung bezieht sich auf die neue Bundesförderung für effiziente Gebäude (BEG) ab 01.01.2024</t>
  </si>
  <si>
    <t>maximale förderfähige Kosten</t>
  </si>
  <si>
    <t>Fördersatz</t>
  </si>
  <si>
    <t>Energiepreise Stand 2023 teilweise orientiert an den Preisdeckeln, ohne Preissteigerung</t>
  </si>
  <si>
    <t>Autarkie Gesamt mit eigenem Holz</t>
  </si>
  <si>
    <t>Autarkie Gesamt ohne eigenes Holz</t>
  </si>
  <si>
    <t>Autarkie gesamt ohne eigenes Holz</t>
  </si>
  <si>
    <t>Autarkie gesamt mit eignem Holz</t>
  </si>
  <si>
    <t>Tragen Sie hier Ihre individuellen Werte ein  - Stand 02.01.2024</t>
  </si>
  <si>
    <t>Vollständige Tabelle mit allen Varianten  - Stand 02.01.2024</t>
  </si>
  <si>
    <t>Ausrichtungsfaktor Kollektor (Abb.3, Kap.2)</t>
  </si>
  <si>
    <t>Ausrichtungsfaktor Module  (Abb.3, Kap.2)</t>
  </si>
  <si>
    <t>Ausrichtungsfaktor  (aus Abb.3, Kap.2)</t>
  </si>
  <si>
    <t>Wohnfläche</t>
  </si>
  <si>
    <t>Energiekennwert</t>
  </si>
  <si>
    <t>Bewertung des Energiekennwerts:</t>
  </si>
  <si>
    <t>gut</t>
  </si>
  <si>
    <t>mittel</t>
  </si>
  <si>
    <t>schlecht</t>
  </si>
  <si>
    <t>bis mittel</t>
  </si>
  <si>
    <t>bis 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</si>
</sst>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\ \ &quot;a&quot;"/>
    <numFmt numFmtId="168" formatCode="0.0\ \ &quot;a&quot;"/>
    <numFmt numFmtId="169" formatCode="#,##0.0"/>
    <numFmt numFmtId="170" formatCode="#,##0.000"/>
    <numFmt numFmtId="171" formatCode="0.0"/>
    <numFmt numFmtId="172" formatCode="0.000"/>
    <numFmt numFmtId="173" formatCode="0.0\ &quot;ct/kWh&quot;"/>
    <numFmt numFmtId="174" formatCode="#,##0\ &quot;Liter/a&quot;"/>
    <numFmt numFmtId="175" formatCode="#,##0\ &quot;oC&quot;"/>
    <numFmt numFmtId="176" formatCode="#,##0\ &quot;kWh/m²a&quot;"/>
    <numFmt numFmtId="177" formatCode="0.0%"/>
    <numFmt numFmtId="178" formatCode="#,##0\ &quot;l/a&quot;"/>
    <numFmt numFmtId="179" formatCode="0\ &quot;oC&quot;"/>
    <numFmt numFmtId="180" formatCode="0\ &quot;kWp&quot;"/>
    <numFmt numFmtId="181" formatCode="#,##0.00\ _€"/>
    <numFmt numFmtId="182" formatCode="0\ &quot;m&quot;"/>
    <numFmt numFmtId="183" formatCode="0.0\ &quot;kW&quot;"/>
    <numFmt numFmtId="184" formatCode="0.00\ &quot;Cent/kWh&quot;"/>
    <numFmt numFmtId="185" formatCode="#,##0\ &quot;kWh/kWp&quot;"/>
    <numFmt numFmtId="186" formatCode="0.0\ &quot;kWh&quot;"/>
    <numFmt numFmtId="187" formatCode="0\ .0\ &quot;m²&quot;"/>
    <numFmt numFmtId="188" formatCode="0.0\ &quot;kWp&quot;"/>
    <numFmt numFmtId="189" formatCode="0.0\ &quot;rm/a&quot;"/>
    <numFmt numFmtId="190" formatCode="0\ &quot;m²&quot;"/>
  </numFmts>
  <fonts count="14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339933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0" fontId="2" fillId="0" borderId="0" xfId="0" applyFont="1" applyAlignment="1">
      <alignment horizontal="right"/>
    </xf>
    <xf numFmtId="0" fontId="6" fillId="0" borderId="0" xfId="0" applyFont="1"/>
    <xf numFmtId="0" fontId="0" fillId="10" borderId="0" xfId="0" applyFill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1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1" fillId="0" borderId="1" xfId="0" applyFont="1" applyBorder="1"/>
    <xf numFmtId="164" fontId="0" fillId="0" borderId="1" xfId="0" applyNumberFormat="1" applyBorder="1"/>
    <xf numFmtId="0" fontId="1" fillId="0" borderId="14" xfId="0" applyFont="1" applyBorder="1"/>
    <xf numFmtId="164" fontId="1" fillId="0" borderId="14" xfId="0" applyNumberFormat="1" applyFont="1" applyBorder="1"/>
    <xf numFmtId="6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Font="1" applyBorder="1"/>
    <xf numFmtId="0" fontId="1" fillId="0" borderId="13" xfId="0" applyFont="1" applyBorder="1"/>
    <xf numFmtId="164" fontId="0" fillId="0" borderId="13" xfId="0" applyNumberFormat="1" applyBorder="1"/>
    <xf numFmtId="164" fontId="0" fillId="10" borderId="16" xfId="0" applyNumberFormat="1" applyFill="1" applyBorder="1"/>
    <xf numFmtId="164" fontId="0" fillId="10" borderId="17" xfId="0" applyNumberFormat="1" applyFill="1" applyBorder="1"/>
    <xf numFmtId="164" fontId="1" fillId="10" borderId="16" xfId="0" applyNumberFormat="1" applyFont="1" applyFill="1" applyBorder="1"/>
    <xf numFmtId="164" fontId="1" fillId="10" borderId="17" xfId="0" applyNumberFormat="1" applyFont="1" applyFill="1" applyBorder="1"/>
    <xf numFmtId="0" fontId="1" fillId="0" borderId="16" xfId="0" applyFont="1" applyBorder="1"/>
    <xf numFmtId="165" fontId="0" fillId="0" borderId="16" xfId="0" applyNumberFormat="1" applyBorder="1"/>
    <xf numFmtId="0" fontId="1" fillId="0" borderId="2" xfId="0" applyFont="1" applyBorder="1"/>
    <xf numFmtId="165" fontId="0" fillId="0" borderId="2" xfId="0" applyNumberFormat="1" applyBorder="1"/>
    <xf numFmtId="164" fontId="0" fillId="0" borderId="2" xfId="0" applyNumberFormat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7" fontId="0" fillId="0" borderId="13" xfId="0" applyNumberFormat="1" applyBorder="1"/>
    <xf numFmtId="168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6" fontId="0" fillId="10" borderId="18" xfId="0" applyNumberFormat="1" applyFill="1" applyBorder="1"/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7" fillId="0" borderId="21" xfId="0" applyFont="1" applyBorder="1"/>
    <xf numFmtId="0" fontId="3" fillId="0" borderId="0" xfId="0" applyFont="1"/>
    <xf numFmtId="0" fontId="0" fillId="0" borderId="22" xfId="0" applyBorder="1"/>
    <xf numFmtId="0" fontId="5" fillId="0" borderId="23" xfId="0" applyFont="1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6" fontId="0" fillId="4" borderId="18" xfId="0" applyNumberFormat="1" applyFill="1" applyBorder="1"/>
    <xf numFmtId="166" fontId="0" fillId="5" borderId="19" xfId="0" applyNumberFormat="1" applyFill="1" applyBorder="1"/>
    <xf numFmtId="6" fontId="0" fillId="0" borderId="19" xfId="0" applyNumberFormat="1" applyBorder="1"/>
    <xf numFmtId="164" fontId="0" fillId="6" borderId="21" xfId="0" applyNumberFormat="1" applyFill="1" applyBorder="1"/>
    <xf numFmtId="9" fontId="0" fillId="7" borderId="0" xfId="0" applyNumberFormat="1" applyFill="1"/>
    <xf numFmtId="6" fontId="0" fillId="8" borderId="21" xfId="0" applyNumberFormat="1" applyFill="1" applyBorder="1"/>
    <xf numFmtId="9" fontId="0" fillId="9" borderId="0" xfId="0" applyNumberFormat="1" applyFill="1"/>
    <xf numFmtId="167" fontId="4" fillId="3" borderId="23" xfId="0" applyNumberFormat="1" applyFont="1" applyFill="1" applyBorder="1"/>
    <xf numFmtId="0" fontId="6" fillId="11" borderId="0" xfId="0" applyFont="1" applyFill="1"/>
    <xf numFmtId="169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0" fontId="3" fillId="10" borderId="2" xfId="0" applyFont="1" applyFill="1" applyBorder="1"/>
    <xf numFmtId="0" fontId="0" fillId="10" borderId="2" xfId="0" applyFill="1" applyBorder="1"/>
    <xf numFmtId="4" fontId="0" fillId="2" borderId="2" xfId="0" applyNumberFormat="1" applyFill="1" applyBorder="1" applyProtection="1">
      <protection locked="0"/>
    </xf>
    <xf numFmtId="0" fontId="8" fillId="10" borderId="12" xfId="0" applyFont="1" applyFill="1" applyBorder="1"/>
    <xf numFmtId="0" fontId="1" fillId="10" borderId="2" xfId="0" applyFont="1" applyFill="1" applyBorder="1"/>
    <xf numFmtId="170" fontId="0" fillId="2" borderId="11" xfId="0" applyNumberFormat="1" applyFill="1" applyBorder="1" applyProtection="1">
      <protection locked="0"/>
    </xf>
    <xf numFmtId="0" fontId="9" fillId="10" borderId="10" xfId="0" applyFont="1" applyFill="1" applyBorder="1"/>
    <xf numFmtId="0" fontId="8" fillId="10" borderId="10" xfId="0" applyFont="1" applyFill="1" applyBorder="1"/>
    <xf numFmtId="3" fontId="8" fillId="10" borderId="10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0" fillId="0" borderId="16" xfId="0" applyNumberFormat="1" applyBorder="1"/>
    <xf numFmtId="164" fontId="0" fillId="2" borderId="16" xfId="0" applyNumberFormat="1" applyFill="1" applyBorder="1" applyProtection="1">
      <protection locked="0"/>
    </xf>
    <xf numFmtId="167" fontId="4" fillId="0" borderId="13" xfId="0" applyNumberFormat="1" applyFont="1" applyBorder="1"/>
    <xf numFmtId="0" fontId="10" fillId="0" borderId="0" xfId="0" applyFont="1"/>
    <xf numFmtId="0" fontId="1" fillId="0" borderId="26" xfId="0" applyFont="1" applyBorder="1"/>
    <xf numFmtId="164" fontId="0" fillId="0" borderId="26" xfId="0" applyNumberFormat="1" applyBorder="1"/>
    <xf numFmtId="164" fontId="0" fillId="2" borderId="2" xfId="0" applyNumberFormat="1" applyFill="1" applyBorder="1" applyProtection="1">
      <protection locked="0"/>
    </xf>
    <xf numFmtId="0" fontId="1" fillId="0" borderId="27" xfId="0" applyFont="1" applyBorder="1"/>
    <xf numFmtId="164" fontId="0" fillId="0" borderId="27" xfId="0" applyNumberFormat="1" applyBorder="1"/>
    <xf numFmtId="164" fontId="0" fillId="10" borderId="2" xfId="0" applyNumberFormat="1" applyFill="1" applyBorder="1"/>
    <xf numFmtId="0" fontId="1" fillId="10" borderId="27" xfId="0" applyFont="1" applyFill="1" applyBorder="1"/>
    <xf numFmtId="164" fontId="0" fillId="10" borderId="27" xfId="0" applyNumberFormat="1" applyFill="1" applyBorder="1"/>
    <xf numFmtId="3" fontId="0" fillId="10" borderId="11" xfId="0" applyNumberFormat="1" applyFill="1" applyBorder="1"/>
    <xf numFmtId="171" fontId="8" fillId="10" borderId="10" xfId="0" applyNumberFormat="1" applyFont="1" applyFill="1" applyBorder="1"/>
    <xf numFmtId="164" fontId="0" fillId="0" borderId="14" xfId="0" applyNumberFormat="1" applyBorder="1"/>
    <xf numFmtId="172" fontId="0" fillId="10" borderId="11" xfId="0" applyNumberFormat="1" applyFill="1" applyBorder="1"/>
    <xf numFmtId="0" fontId="3" fillId="11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8" fillId="10" borderId="0" xfId="0" applyFont="1" applyFill="1"/>
    <xf numFmtId="0" fontId="8" fillId="10" borderId="7" xfId="0" applyFont="1" applyFill="1" applyBorder="1"/>
    <xf numFmtId="172" fontId="8" fillId="10" borderId="10" xfId="0" applyNumberFormat="1" applyFont="1" applyFill="1" applyBorder="1"/>
    <xf numFmtId="165" fontId="0" fillId="0" borderId="0" xfId="0" applyNumberFormat="1"/>
    <xf numFmtId="0" fontId="11" fillId="0" borderId="0" xfId="0" applyFont="1"/>
    <xf numFmtId="165" fontId="0" fillId="0" borderId="26" xfId="0" applyNumberFormat="1" applyBorder="1"/>
    <xf numFmtId="2" fontId="0" fillId="0" borderId="0" xfId="0" applyNumberFormat="1"/>
    <xf numFmtId="0" fontId="8" fillId="10" borderId="11" xfId="0" applyFont="1" applyFill="1" applyBorder="1"/>
    <xf numFmtId="0" fontId="3" fillId="10" borderId="11" xfId="0" applyFont="1" applyFill="1" applyBorder="1"/>
    <xf numFmtId="173" fontId="12" fillId="10" borderId="11" xfId="0" applyNumberFormat="1" applyFont="1" applyFill="1" applyBorder="1" applyAlignment="1">
      <alignment horizontal="left"/>
    </xf>
    <xf numFmtId="0" fontId="0" fillId="10" borderId="28" xfId="0" applyFill="1" applyBorder="1"/>
    <xf numFmtId="3" fontId="0" fillId="2" borderId="18" xfId="0" applyNumberFormat="1" applyFill="1" applyBorder="1"/>
    <xf numFmtId="0" fontId="1" fillId="10" borderId="28" xfId="0" applyFont="1" applyFill="1" applyBorder="1"/>
    <xf numFmtId="3" fontId="8" fillId="10" borderId="10" xfId="0" applyNumberFormat="1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right"/>
    </xf>
    <xf numFmtId="175" fontId="3" fillId="2" borderId="2" xfId="0" applyNumberFormat="1" applyFont="1" applyFill="1" applyBorder="1" applyAlignment="1" applyProtection="1">
      <alignment horizontal="right"/>
      <protection locked="0"/>
    </xf>
    <xf numFmtId="176" fontId="3" fillId="10" borderId="2" xfId="0" applyNumberFormat="1" applyFont="1" applyFill="1" applyBorder="1"/>
    <xf numFmtId="0" fontId="0" fillId="12" borderId="0" xfId="0" applyFill="1"/>
    <xf numFmtId="177" fontId="0" fillId="0" borderId="13" xfId="0" applyNumberFormat="1" applyBorder="1"/>
    <xf numFmtId="178" fontId="0" fillId="0" borderId="26" xfId="0" applyNumberFormat="1" applyBorder="1"/>
    <xf numFmtId="174" fontId="3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179" fontId="3" fillId="10" borderId="2" xfId="0" applyNumberFormat="1" applyFont="1" applyFill="1" applyBorder="1" applyAlignment="1">
      <alignment horizontal="center"/>
    </xf>
    <xf numFmtId="171" fontId="0" fillId="10" borderId="2" xfId="0" applyNumberFormat="1" applyFill="1" applyBorder="1"/>
    <xf numFmtId="0" fontId="12" fillId="0" borderId="0" xfId="0" applyFont="1"/>
    <xf numFmtId="180" fontId="12" fillId="0" borderId="0" xfId="0" applyNumberFormat="1" applyFont="1"/>
    <xf numFmtId="165" fontId="0" fillId="0" borderId="14" xfId="0" applyNumberFormat="1" applyBorder="1"/>
    <xf numFmtId="0" fontId="0" fillId="8" borderId="0" xfId="0" applyFill="1"/>
    <xf numFmtId="0" fontId="0" fillId="0" borderId="29" xfId="0" applyBorder="1"/>
    <xf numFmtId="1" fontId="0" fillId="0" borderId="29" xfId="0" applyNumberFormat="1" applyBorder="1"/>
    <xf numFmtId="2" fontId="0" fillId="0" borderId="29" xfId="0" applyNumberFormat="1" applyBorder="1"/>
    <xf numFmtId="0" fontId="0" fillId="13" borderId="29" xfId="0" applyFill="1" applyBorder="1"/>
    <xf numFmtId="1" fontId="0" fillId="13" borderId="29" xfId="0" applyNumberFormat="1" applyFill="1" applyBorder="1"/>
    <xf numFmtId="1" fontId="0" fillId="0" borderId="0" xfId="0" applyNumberFormat="1"/>
    <xf numFmtId="0" fontId="3" fillId="0" borderId="29" xfId="0" applyFont="1" applyBorder="1"/>
    <xf numFmtId="11" fontId="0" fillId="0" borderId="0" xfId="0" applyNumberFormat="1"/>
    <xf numFmtId="181" fontId="12" fillId="0" borderId="0" xfId="0" applyNumberFormat="1" applyFont="1"/>
    <xf numFmtId="4" fontId="3" fillId="2" borderId="26" xfId="0" applyNumberFormat="1" applyFont="1" applyFill="1" applyBorder="1" applyAlignment="1" applyProtection="1">
      <alignment horizontal="right"/>
      <protection locked="0"/>
    </xf>
    <xf numFmtId="2" fontId="3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164" fontId="3" fillId="10" borderId="17" xfId="0" applyNumberFormat="1" applyFont="1" applyFill="1" applyBorder="1"/>
    <xf numFmtId="182" fontId="0" fillId="0" borderId="2" xfId="0" applyNumberFormat="1" applyBorder="1"/>
    <xf numFmtId="183" fontId="1" fillId="0" borderId="2" xfId="0" applyNumberFormat="1" applyFont="1" applyBorder="1"/>
    <xf numFmtId="4" fontId="0" fillId="0" borderId="0" xfId="0" applyNumberFormat="1"/>
    <xf numFmtId="183" fontId="3" fillId="0" borderId="2" xfId="0" applyNumberFormat="1" applyFont="1" applyBorder="1"/>
    <xf numFmtId="183" fontId="3" fillId="10" borderId="2" xfId="0" applyNumberFormat="1" applyFont="1" applyFill="1" applyBorder="1" applyAlignment="1">
      <alignment horizontal="center"/>
    </xf>
    <xf numFmtId="183" fontId="1" fillId="10" borderId="2" xfId="0" applyNumberFormat="1" applyFont="1" applyFill="1" applyBorder="1" applyAlignment="1">
      <alignment horizontal="center"/>
    </xf>
    <xf numFmtId="182" fontId="1" fillId="10" borderId="2" xfId="0" applyNumberFormat="1" applyFont="1" applyFill="1" applyBorder="1"/>
    <xf numFmtId="182" fontId="3" fillId="10" borderId="2" xfId="0" applyNumberFormat="1" applyFont="1" applyFill="1" applyBorder="1" applyAlignment="1">
      <alignment horizontal="center"/>
    </xf>
    <xf numFmtId="182" fontId="1" fillId="1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84" fontId="0" fillId="0" borderId="2" xfId="0" applyNumberFormat="1" applyBorder="1"/>
    <xf numFmtId="185" fontId="3" fillId="0" borderId="2" xfId="0" applyNumberFormat="1" applyFont="1" applyBorder="1"/>
    <xf numFmtId="186" fontId="3" fillId="2" borderId="26" xfId="0" applyNumberFormat="1" applyFont="1" applyFill="1" applyBorder="1" applyAlignment="1" applyProtection="1">
      <alignment horizontal="right"/>
      <protection locked="0"/>
    </xf>
    <xf numFmtId="164" fontId="0" fillId="14" borderId="2" xfId="0" applyNumberFormat="1" applyFill="1" applyBorder="1"/>
    <xf numFmtId="184" fontId="0" fillId="14" borderId="2" xfId="0" applyNumberFormat="1" applyFill="1" applyBorder="1"/>
    <xf numFmtId="9" fontId="3" fillId="14" borderId="2" xfId="0" applyNumberFormat="1" applyFont="1" applyFill="1" applyBorder="1" applyAlignment="1" applyProtection="1">
      <alignment horizontal="right"/>
      <protection locked="0"/>
    </xf>
    <xf numFmtId="9" fontId="3" fillId="14" borderId="2" xfId="0" applyNumberFormat="1" applyFont="1" applyFill="1" applyBorder="1" applyAlignment="1">
      <alignment horizontal="right"/>
    </xf>
    <xf numFmtId="0" fontId="1" fillId="10" borderId="26" xfId="0" applyFont="1" applyFill="1" applyBorder="1"/>
    <xf numFmtId="164" fontId="0" fillId="10" borderId="26" xfId="0" applyNumberFormat="1" applyFill="1" applyBorder="1"/>
    <xf numFmtId="0" fontId="1" fillId="0" borderId="17" xfId="0" applyFont="1" applyBorder="1"/>
    <xf numFmtId="0" fontId="3" fillId="0" borderId="17" xfId="0" applyFont="1" applyBorder="1" applyAlignment="1">
      <alignment horizontal="center"/>
    </xf>
    <xf numFmtId="179" fontId="3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14" borderId="2" xfId="0" applyFont="1" applyFill="1" applyBorder="1"/>
    <xf numFmtId="186" fontId="3" fillId="14" borderId="2" xfId="0" applyNumberFormat="1" applyFont="1" applyFill="1" applyBorder="1" applyAlignment="1" applyProtection="1">
      <alignment horizontal="right"/>
      <protection locked="0"/>
    </xf>
    <xf numFmtId="186" fontId="3" fillId="0" borderId="26" xfId="0" applyNumberFormat="1" applyFont="1" applyBorder="1" applyAlignment="1" applyProtection="1">
      <alignment horizontal="right"/>
      <protection locked="0"/>
    </xf>
    <xf numFmtId="164" fontId="0" fillId="0" borderId="17" xfId="0" applyNumberFormat="1" applyBorder="1"/>
    <xf numFmtId="164" fontId="1" fillId="10" borderId="1" xfId="0" applyNumberFormat="1" applyFont="1" applyFill="1" applyBorder="1"/>
    <xf numFmtId="164" fontId="0" fillId="10" borderId="1" xfId="0" applyNumberFormat="1" applyFill="1" applyBorder="1"/>
    <xf numFmtId="164" fontId="3" fillId="10" borderId="1" xfId="0" applyNumberFormat="1" applyFont="1" applyFill="1" applyBorder="1"/>
    <xf numFmtId="187" fontId="3" fillId="15" borderId="26" xfId="0" applyNumberFormat="1" applyFont="1" applyFill="1" applyBorder="1" applyAlignment="1" applyProtection="1">
      <alignment horizontal="right"/>
      <protection locked="0"/>
    </xf>
    <xf numFmtId="187" fontId="3" fillId="0" borderId="26" xfId="0" applyNumberFormat="1" applyFont="1" applyBorder="1" applyAlignment="1">
      <alignment horizontal="right"/>
    </xf>
    <xf numFmtId="3" fontId="0" fillId="0" borderId="0" xfId="0" applyNumberFormat="1"/>
    <xf numFmtId="188" fontId="0" fillId="2" borderId="26" xfId="0" applyNumberFormat="1" applyFill="1" applyBorder="1" applyProtection="1">
      <protection locked="0"/>
    </xf>
    <xf numFmtId="188" fontId="0" fillId="0" borderId="26" xfId="0" applyNumberFormat="1" applyBorder="1"/>
    <xf numFmtId="187" fontId="3" fillId="10" borderId="2" xfId="0" applyNumberFormat="1" applyFont="1" applyFill="1" applyBorder="1" applyAlignment="1">
      <alignment horizontal="center"/>
    </xf>
    <xf numFmtId="188" fontId="0" fillId="14" borderId="2" xfId="0" applyNumberFormat="1" applyFill="1" applyBorder="1" applyProtection="1">
      <protection locked="0"/>
    </xf>
    <xf numFmtId="188" fontId="1" fillId="14" borderId="2" xfId="0" applyNumberFormat="1" applyFont="1" applyFill="1" applyBorder="1"/>
    <xf numFmtId="49" fontId="1" fillId="0" borderId="0" xfId="0" applyNumberFormat="1" applyFont="1"/>
    <xf numFmtId="4" fontId="3" fillId="0" borderId="26" xfId="0" applyNumberFormat="1" applyFont="1" applyBorder="1" applyAlignment="1">
      <alignment horizontal="right"/>
    </xf>
    <xf numFmtId="169" fontId="0" fillId="0" borderId="0" xfId="0" applyNumberFormat="1"/>
    <xf numFmtId="0" fontId="1" fillId="16" borderId="1" xfId="0" applyFont="1" applyFill="1" applyBorder="1"/>
    <xf numFmtId="9" fontId="3" fillId="15" borderId="2" xfId="0" applyNumberFormat="1" applyFont="1" applyFill="1" applyBorder="1" applyAlignment="1" applyProtection="1">
      <alignment horizontal="right"/>
      <protection locked="0"/>
    </xf>
    <xf numFmtId="0" fontId="3" fillId="10" borderId="10" xfId="0" applyFont="1" applyFill="1" applyBorder="1"/>
    <xf numFmtId="189" fontId="0" fillId="0" borderId="2" xfId="0" applyNumberFormat="1" applyBorder="1"/>
    <xf numFmtId="0" fontId="1" fillId="10" borderId="15" xfId="0" applyFont="1" applyFill="1" applyBorder="1"/>
    <xf numFmtId="164" fontId="0" fillId="10" borderId="15" xfId="0" applyNumberFormat="1" applyFill="1" applyBorder="1"/>
    <xf numFmtId="164" fontId="0" fillId="0" borderId="15" xfId="0" applyNumberFormat="1" applyBorder="1"/>
    <xf numFmtId="3" fontId="0" fillId="2" borderId="8" xfId="0" applyNumberFormat="1" applyFill="1" applyBorder="1" applyAlignment="1" applyProtection="1">
      <alignment horizontal="right"/>
      <protection locked="0"/>
    </xf>
    <xf numFmtId="3" fontId="3" fillId="2" borderId="8" xfId="0" applyNumberFormat="1" applyFont="1" applyFill="1" applyBorder="1" applyAlignment="1" applyProtection="1">
      <alignment horizontal="right"/>
      <protection locked="0"/>
    </xf>
    <xf numFmtId="0" fontId="1" fillId="10" borderId="3" xfId="0" applyFont="1" applyFill="1" applyBorder="1"/>
    <xf numFmtId="3" fontId="0" fillId="10" borderId="4" xfId="0" applyNumberFormat="1" applyFill="1" applyBorder="1"/>
    <xf numFmtId="172" fontId="0" fillId="10" borderId="0" xfId="0" applyNumberFormat="1" applyFill="1"/>
    <xf numFmtId="171" fontId="0" fillId="10" borderId="8" xfId="0" applyNumberFormat="1" applyFill="1" applyBorder="1"/>
    <xf numFmtId="172" fontId="0" fillId="10" borderId="8" xfId="0" applyNumberFormat="1" applyFill="1" applyBorder="1"/>
    <xf numFmtId="0" fontId="3" fillId="10" borderId="7" xfId="0" applyFont="1" applyFill="1" applyBorder="1"/>
    <xf numFmtId="169" fontId="8" fillId="10" borderId="10" xfId="0" applyNumberFormat="1" applyFont="1" applyFill="1" applyBorder="1"/>
    <xf numFmtId="3" fontId="8" fillId="10" borderId="12" xfId="0" applyNumberFormat="1" applyFont="1" applyFill="1" applyBorder="1"/>
    <xf numFmtId="169" fontId="0" fillId="2" borderId="17" xfId="0" applyNumberFormat="1" applyFill="1" applyBorder="1" applyProtection="1">
      <protection locked="0"/>
    </xf>
    <xf numFmtId="0" fontId="0" fillId="10" borderId="17" xfId="0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0" borderId="30" xfId="0" applyFont="1" applyBorder="1"/>
    <xf numFmtId="0" fontId="0" fillId="18" borderId="0" xfId="0" applyFill="1"/>
    <xf numFmtId="0" fontId="0" fillId="3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18" borderId="0" xfId="0" applyFill="1" applyAlignment="1">
      <alignment horizontal="center"/>
    </xf>
    <xf numFmtId="190" fontId="3" fillId="10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58"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FFC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theme="5"/>
      </font>
    </dxf>
    <dxf>
      <font>
        <color rgb="FFFFC000"/>
      </font>
    </dxf>
    <dxf>
      <font>
        <color theme="5"/>
      </font>
    </dxf>
    <dxf>
      <font>
        <color theme="5"/>
      </font>
    </dxf>
    <dxf>
      <font>
        <color rgb="FFFFC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C00000"/>
      </font>
    </dxf>
    <dxf>
      <font>
        <color rgb="FFFFC000"/>
      </font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A162D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ill>
        <patternFill>
          <bgColor rgb="FFEFC16D"/>
        </patternFill>
      </fill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  <color rgb="FFE1F0FF"/>
      <color rgb="FFE1FFF5"/>
      <color rgb="FFFFFFAF"/>
      <color rgb="FFFFFF66"/>
      <color rgb="FF69D8FF"/>
      <color rgb="FFC2E49C"/>
      <color rgb="FFB2DE82"/>
      <color rgb="FFA162D0"/>
      <color rgb="FFFF3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V104"/>
  <sheetViews>
    <sheetView showGridLines="0" tabSelected="1" zoomScale="91" zoomScaleNormal="91" zoomScaleSheetLayoutView="118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6" width="17.7109375" customWidth="1"/>
  </cols>
  <sheetData>
    <row r="1" spans="1:36" s="2" customFormat="1" ht="23.25" x14ac:dyDescent="0.35">
      <c r="A1" s="7" t="s">
        <v>273</v>
      </c>
      <c r="B1" s="2" t="s">
        <v>274</v>
      </c>
    </row>
    <row r="2" spans="1:36" s="2" customFormat="1" ht="23.25" x14ac:dyDescent="0.35">
      <c r="A2" s="7"/>
      <c r="B2" s="8" t="s">
        <v>329</v>
      </c>
    </row>
    <row r="3" spans="1:36" s="2" customFormat="1" ht="23.25" x14ac:dyDescent="0.35">
      <c r="A3" s="7"/>
      <c r="B3" s="51" t="s">
        <v>320</v>
      </c>
      <c r="C3"/>
      <c r="D3"/>
      <c r="E3"/>
      <c r="F3"/>
    </row>
    <row r="4" spans="1:36" ht="24.95" customHeight="1" x14ac:dyDescent="0.2">
      <c r="B4" s="94" t="s">
        <v>323</v>
      </c>
      <c r="C4" s="95"/>
      <c r="D4" s="95"/>
      <c r="E4" s="95"/>
      <c r="F4" s="95"/>
    </row>
    <row r="5" spans="1:36" x14ac:dyDescent="0.2">
      <c r="A5" s="190"/>
      <c r="B5" s="191"/>
      <c r="C5" s="12"/>
      <c r="D5" s="11"/>
      <c r="E5" s="11"/>
      <c r="F5" s="11"/>
      <c r="G5" s="11"/>
      <c r="H5" s="190" t="s">
        <v>29</v>
      </c>
      <c r="I5" s="11"/>
      <c r="J5" s="12"/>
    </row>
    <row r="6" spans="1:36" x14ac:dyDescent="0.2">
      <c r="A6" s="72" t="s">
        <v>39</v>
      </c>
      <c r="B6" s="121">
        <v>1.4</v>
      </c>
      <c r="C6" s="69" t="s">
        <v>85</v>
      </c>
      <c r="D6" s="9"/>
      <c r="E6" s="9"/>
      <c r="F6" s="9"/>
      <c r="G6" s="9"/>
      <c r="H6" s="20" t="s">
        <v>40</v>
      </c>
      <c r="I6" s="93">
        <v>0.31</v>
      </c>
      <c r="J6" s="19" t="s">
        <v>33</v>
      </c>
    </row>
    <row r="7" spans="1:36" x14ac:dyDescent="0.2">
      <c r="A7" s="72" t="s">
        <v>19</v>
      </c>
      <c r="B7" s="121">
        <v>12</v>
      </c>
      <c r="C7" s="69" t="s">
        <v>21</v>
      </c>
      <c r="D7" s="9"/>
      <c r="E7" s="9"/>
      <c r="F7" s="9"/>
      <c r="G7" s="9"/>
      <c r="H7" s="20" t="s">
        <v>30</v>
      </c>
      <c r="I7" s="93">
        <v>0.24</v>
      </c>
      <c r="J7" s="19" t="s">
        <v>33</v>
      </c>
      <c r="K7" s="6"/>
      <c r="L7" s="5"/>
      <c r="M7" s="4"/>
      <c r="N7" s="5"/>
      <c r="O7" s="4"/>
      <c r="P7" s="5"/>
      <c r="Q7" s="4"/>
      <c r="R7" s="4"/>
    </row>
    <row r="8" spans="1:36" x14ac:dyDescent="0.2">
      <c r="A8" s="72" t="s">
        <v>23</v>
      </c>
      <c r="B8" s="121">
        <v>100</v>
      </c>
      <c r="C8" s="68" t="s">
        <v>285</v>
      </c>
      <c r="D8" s="9"/>
      <c r="E8" s="9"/>
      <c r="F8" s="9"/>
      <c r="G8" s="9"/>
      <c r="H8" s="183" t="s">
        <v>31</v>
      </c>
      <c r="I8" s="93">
        <v>0.02</v>
      </c>
      <c r="J8" s="19" t="s">
        <v>33</v>
      </c>
      <c r="K8" s="6"/>
      <c r="L8" s="5"/>
      <c r="M8" s="4"/>
      <c r="N8" s="5"/>
      <c r="O8" s="4"/>
      <c r="P8" s="5"/>
      <c r="Q8" s="4"/>
      <c r="R8" s="4"/>
    </row>
    <row r="9" spans="1:36" x14ac:dyDescent="0.2">
      <c r="A9" s="72" t="s">
        <v>20</v>
      </c>
      <c r="B9" s="121">
        <v>40</v>
      </c>
      <c r="C9" s="69" t="s">
        <v>21</v>
      </c>
      <c r="D9" s="9"/>
      <c r="E9" s="9"/>
      <c r="F9" s="9"/>
      <c r="G9" s="9"/>
      <c r="H9" s="20" t="s">
        <v>22</v>
      </c>
      <c r="I9" s="93">
        <v>0.56000000000000005</v>
      </c>
      <c r="J9" s="19" t="s">
        <v>33</v>
      </c>
      <c r="K9" s="6"/>
      <c r="L9" s="5"/>
      <c r="M9" s="4"/>
      <c r="N9" s="5"/>
      <c r="O9" s="4"/>
      <c r="P9" s="5"/>
      <c r="Q9" s="4"/>
      <c r="R9" s="4"/>
    </row>
    <row r="10" spans="1:36" x14ac:dyDescent="0.2">
      <c r="A10" s="72" t="s">
        <v>155</v>
      </c>
      <c r="B10" s="121">
        <v>28</v>
      </c>
      <c r="C10" s="69" t="s">
        <v>21</v>
      </c>
      <c r="D10" s="9"/>
      <c r="E10" s="9"/>
      <c r="F10" s="9"/>
      <c r="G10" s="9"/>
      <c r="H10" s="13"/>
      <c r="I10" s="192"/>
      <c r="J10" s="14"/>
      <c r="K10" s="6"/>
      <c r="L10" s="5"/>
      <c r="M10" s="4"/>
      <c r="N10" s="5"/>
      <c r="O10" s="4"/>
      <c r="P10" s="5"/>
      <c r="Q10" s="4"/>
      <c r="R10" s="4"/>
    </row>
    <row r="11" spans="1:36" x14ac:dyDescent="0.2">
      <c r="A11" s="72" t="s">
        <v>318</v>
      </c>
      <c r="B11" s="121">
        <v>0.5</v>
      </c>
      <c r="C11" s="68" t="s">
        <v>319</v>
      </c>
      <c r="D11" s="9"/>
      <c r="E11" s="9"/>
      <c r="F11" s="9"/>
      <c r="G11" s="9"/>
      <c r="H11" s="13"/>
      <c r="I11" s="192"/>
      <c r="J11" s="14"/>
      <c r="K11" s="6"/>
      <c r="L11" s="5"/>
      <c r="M11" s="4"/>
      <c r="N11" s="5"/>
      <c r="O11" s="4"/>
      <c r="P11" s="5"/>
      <c r="Q11" s="4"/>
      <c r="R11" s="4"/>
    </row>
    <row r="12" spans="1:36" x14ac:dyDescent="0.2">
      <c r="A12" s="72" t="s">
        <v>101</v>
      </c>
      <c r="B12" s="121">
        <v>1000</v>
      </c>
      <c r="C12" s="68" t="s">
        <v>102</v>
      </c>
      <c r="D12" s="9"/>
      <c r="E12" s="9"/>
      <c r="F12" s="9"/>
      <c r="G12" s="9"/>
      <c r="H12" s="13"/>
      <c r="I12" s="192"/>
      <c r="J12" s="14"/>
      <c r="K12" s="6"/>
      <c r="L12" s="5"/>
      <c r="M12" s="4"/>
      <c r="N12" s="5"/>
      <c r="O12" s="4"/>
      <c r="P12" s="5"/>
      <c r="Q12" s="4"/>
      <c r="R12" s="4"/>
    </row>
    <row r="13" spans="1:36" x14ac:dyDescent="0.2">
      <c r="A13" s="108"/>
      <c r="B13" s="193"/>
      <c r="C13" s="16"/>
      <c r="D13" s="15"/>
      <c r="E13" s="15"/>
      <c r="F13" s="15"/>
      <c r="G13" s="15"/>
      <c r="H13" s="106"/>
      <c r="I13" s="194"/>
      <c r="J13" s="16"/>
      <c r="K13" s="6"/>
      <c r="L13" s="5"/>
      <c r="M13" s="4"/>
      <c r="N13" s="5"/>
      <c r="O13" s="4"/>
      <c r="P13" s="5"/>
      <c r="Q13" s="4"/>
      <c r="R13" s="4"/>
    </row>
    <row r="14" spans="1:36" s="1" customFormat="1" x14ac:dyDescent="0.2">
      <c r="B14"/>
      <c r="C14"/>
      <c r="D14"/>
      <c r="E14"/>
      <c r="F14"/>
      <c r="G14"/>
      <c r="H14"/>
      <c r="I14"/>
      <c r="J14"/>
      <c r="K14" s="3"/>
      <c r="L14" s="6"/>
      <c r="M14" s="6"/>
      <c r="N14" s="5"/>
      <c r="O14" s="4"/>
      <c r="P14" s="5"/>
      <c r="Q14" s="4"/>
      <c r="R14" s="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" customFormat="1" x14ac:dyDescent="0.2">
      <c r="A15"/>
      <c r="B15" s="3"/>
      <c r="C15" s="3"/>
      <c r="D15" s="6"/>
      <c r="E15" s="6"/>
      <c r="F15" s="3"/>
      <c r="G15" s="3"/>
      <c r="H15" s="3"/>
      <c r="I15" s="3"/>
      <c r="J15" s="6"/>
      <c r="K15" s="6"/>
      <c r="L15" s="5"/>
      <c r="M15" s="4"/>
    </row>
    <row r="16" spans="1:36" s="1" customFormat="1" x14ac:dyDescent="0.2">
      <c r="A16" s="23" t="s">
        <v>0</v>
      </c>
      <c r="B16" s="24" t="s">
        <v>35</v>
      </c>
      <c r="C16" s="24" t="s">
        <v>286</v>
      </c>
      <c r="D16" s="24" t="s">
        <v>287</v>
      </c>
      <c r="E16" s="24" t="s">
        <v>253</v>
      </c>
      <c r="F16" s="24" t="s">
        <v>255</v>
      </c>
      <c r="G16" s="24" t="s">
        <v>294</v>
      </c>
      <c r="H16" s="24" t="s">
        <v>295</v>
      </c>
      <c r="I16" s="24" t="s">
        <v>254</v>
      </c>
      <c r="J16" s="24" t="s">
        <v>260</v>
      </c>
      <c r="K16" s="24" t="s">
        <v>296</v>
      </c>
      <c r="L16" s="25" t="s">
        <v>35</v>
      </c>
      <c r="M16" s="24" t="s">
        <v>286</v>
      </c>
      <c r="N16" s="24" t="s">
        <v>287</v>
      </c>
      <c r="O16" s="24" t="s">
        <v>253</v>
      </c>
      <c r="P16" s="24" t="s">
        <v>255</v>
      </c>
      <c r="Q16" s="24" t="s">
        <v>294</v>
      </c>
      <c r="R16" s="24" t="s">
        <v>295</v>
      </c>
      <c r="S16" s="24" t="s">
        <v>254</v>
      </c>
      <c r="T16" s="24" t="s">
        <v>260</v>
      </c>
      <c r="U16" s="24" t="s">
        <v>296</v>
      </c>
      <c r="V16" s="24" t="s">
        <v>297</v>
      </c>
      <c r="W16" s="24" t="s">
        <v>256</v>
      </c>
      <c r="X16" s="25" t="s">
        <v>35</v>
      </c>
      <c r="Y16" s="24" t="s">
        <v>300</v>
      </c>
      <c r="Z16" s="24" t="s">
        <v>301</v>
      </c>
      <c r="AA16" s="24" t="s">
        <v>302</v>
      </c>
      <c r="AB16" s="24" t="s">
        <v>306</v>
      </c>
      <c r="AC16" s="24" t="s">
        <v>307</v>
      </c>
      <c r="AD16" s="24" t="s">
        <v>308</v>
      </c>
      <c r="AE16" s="24" t="s">
        <v>309</v>
      </c>
      <c r="AF16" s="24" t="s">
        <v>310</v>
      </c>
      <c r="AG16" s="24" t="s">
        <v>311</v>
      </c>
      <c r="AH16" s="24" t="s">
        <v>312</v>
      </c>
      <c r="AI16" s="24" t="s">
        <v>313</v>
      </c>
      <c r="AJ16" s="24" t="s">
        <v>314</v>
      </c>
    </row>
    <row r="17" spans="1:74" s="1" customFormat="1" x14ac:dyDescent="0.2">
      <c r="A17" s="21"/>
      <c r="B17" s="21" t="s">
        <v>315</v>
      </c>
      <c r="C17" s="21" t="s">
        <v>278</v>
      </c>
      <c r="D17" s="21" t="s">
        <v>278</v>
      </c>
      <c r="E17" s="21" t="s">
        <v>153</v>
      </c>
      <c r="F17" s="21" t="s">
        <v>153</v>
      </c>
      <c r="G17" s="21" t="s">
        <v>278</v>
      </c>
      <c r="H17" s="21" t="s">
        <v>278</v>
      </c>
      <c r="I17" s="21" t="s">
        <v>153</v>
      </c>
      <c r="J17" s="21" t="s">
        <v>153</v>
      </c>
      <c r="K17" s="21" t="s">
        <v>278</v>
      </c>
      <c r="L17" s="21" t="s">
        <v>316</v>
      </c>
      <c r="M17" s="21" t="s">
        <v>278</v>
      </c>
      <c r="N17" s="21" t="s">
        <v>278</v>
      </c>
      <c r="O17" s="21" t="s">
        <v>153</v>
      </c>
      <c r="P17" s="21" t="s">
        <v>153</v>
      </c>
      <c r="Q17" s="21" t="s">
        <v>278</v>
      </c>
      <c r="R17" s="21" t="s">
        <v>278</v>
      </c>
      <c r="S17" s="21" t="s">
        <v>153</v>
      </c>
      <c r="T17" s="21" t="s">
        <v>153</v>
      </c>
      <c r="U17" s="21" t="s">
        <v>278</v>
      </c>
      <c r="V17" s="21" t="s">
        <v>278</v>
      </c>
      <c r="W17" s="21" t="s">
        <v>153</v>
      </c>
      <c r="X17" s="21" t="s">
        <v>317</v>
      </c>
      <c r="Y17" s="21" t="s">
        <v>279</v>
      </c>
      <c r="Z17" s="21" t="s">
        <v>279</v>
      </c>
      <c r="AA17" s="21" t="s">
        <v>299</v>
      </c>
      <c r="AB17" s="21" t="s">
        <v>299</v>
      </c>
      <c r="AC17" s="21" t="s">
        <v>279</v>
      </c>
      <c r="AD17" s="21" t="s">
        <v>279</v>
      </c>
      <c r="AE17" s="21" t="s">
        <v>299</v>
      </c>
      <c r="AF17" s="21" t="s">
        <v>299</v>
      </c>
      <c r="AG17" s="21" t="s">
        <v>279</v>
      </c>
      <c r="AH17" s="21" t="s">
        <v>279</v>
      </c>
      <c r="AI17" s="21" t="s">
        <v>299</v>
      </c>
      <c r="AJ17" s="21" t="s">
        <v>299</v>
      </c>
    </row>
    <row r="18" spans="1:74" s="1" customFormat="1" x14ac:dyDescent="0.2">
      <c r="A18" s="21"/>
      <c r="B18" s="21"/>
      <c r="C18" s="21" t="s">
        <v>126</v>
      </c>
      <c r="D18" s="21" t="s">
        <v>126</v>
      </c>
      <c r="E18" s="21" t="s">
        <v>126</v>
      </c>
      <c r="F18" s="21" t="s">
        <v>126</v>
      </c>
      <c r="G18" s="21" t="s">
        <v>126</v>
      </c>
      <c r="H18" s="21" t="s">
        <v>126</v>
      </c>
      <c r="I18" s="21" t="s">
        <v>126</v>
      </c>
      <c r="J18" s="21" t="s">
        <v>126</v>
      </c>
      <c r="K18" s="21" t="s">
        <v>126</v>
      </c>
      <c r="L18" s="21"/>
      <c r="M18" s="21" t="s">
        <v>126</v>
      </c>
      <c r="N18" s="21" t="s">
        <v>126</v>
      </c>
      <c r="O18" s="21" t="s">
        <v>126</v>
      </c>
      <c r="P18" s="21" t="s">
        <v>126</v>
      </c>
      <c r="Q18" s="21" t="s">
        <v>126</v>
      </c>
      <c r="R18" s="21" t="s">
        <v>126</v>
      </c>
      <c r="S18" s="21" t="s">
        <v>126</v>
      </c>
      <c r="T18" s="21" t="s">
        <v>126</v>
      </c>
      <c r="U18" s="21" t="s">
        <v>126</v>
      </c>
      <c r="V18" s="21" t="s">
        <v>126</v>
      </c>
      <c r="W18" s="21" t="s">
        <v>126</v>
      </c>
      <c r="X18" s="21"/>
      <c r="Y18" s="21" t="s">
        <v>126</v>
      </c>
      <c r="Z18" s="21" t="s">
        <v>126</v>
      </c>
      <c r="AA18" s="21" t="s">
        <v>126</v>
      </c>
      <c r="AB18" s="21" t="s">
        <v>126</v>
      </c>
      <c r="AC18" s="21" t="s">
        <v>126</v>
      </c>
      <c r="AD18" s="21" t="s">
        <v>126</v>
      </c>
      <c r="AE18" s="21" t="s">
        <v>126</v>
      </c>
      <c r="AF18" s="21" t="s">
        <v>126</v>
      </c>
      <c r="AG18" s="21" t="s">
        <v>126</v>
      </c>
      <c r="AH18" s="21" t="s">
        <v>126</v>
      </c>
      <c r="AI18" s="21" t="s">
        <v>126</v>
      </c>
      <c r="AJ18" s="21" t="s">
        <v>126</v>
      </c>
    </row>
    <row r="19" spans="1:74" s="1" customFormat="1" x14ac:dyDescent="0.2">
      <c r="A19" s="21"/>
      <c r="B19" s="21"/>
      <c r="C19" s="21" t="s">
        <v>258</v>
      </c>
      <c r="D19" s="21" t="s">
        <v>258</v>
      </c>
      <c r="E19" s="21" t="s">
        <v>258</v>
      </c>
      <c r="F19" s="21" t="s">
        <v>261</v>
      </c>
      <c r="G19" s="21" t="s">
        <v>258</v>
      </c>
      <c r="H19" s="21" t="s">
        <v>258</v>
      </c>
      <c r="I19" s="21" t="s">
        <v>258</v>
      </c>
      <c r="J19" s="21" t="s">
        <v>261</v>
      </c>
      <c r="K19" s="21" t="s">
        <v>258</v>
      </c>
      <c r="L19" s="21"/>
      <c r="M19" s="21" t="s">
        <v>258</v>
      </c>
      <c r="N19" s="21" t="s">
        <v>258</v>
      </c>
      <c r="O19" s="21" t="s">
        <v>258</v>
      </c>
      <c r="P19" s="21" t="s">
        <v>261</v>
      </c>
      <c r="Q19" s="21" t="s">
        <v>258</v>
      </c>
      <c r="R19" s="21" t="s">
        <v>258</v>
      </c>
      <c r="S19" s="21" t="s">
        <v>258</v>
      </c>
      <c r="T19" s="21" t="s">
        <v>261</v>
      </c>
      <c r="U19" s="21" t="s">
        <v>258</v>
      </c>
      <c r="V19" s="21" t="s">
        <v>258</v>
      </c>
      <c r="W19" s="21" t="s">
        <v>258</v>
      </c>
      <c r="X19" s="21"/>
      <c r="Y19" s="21" t="s">
        <v>258</v>
      </c>
      <c r="Z19" s="21" t="s">
        <v>258</v>
      </c>
      <c r="AA19" s="21" t="s">
        <v>303</v>
      </c>
      <c r="AB19" s="21" t="s">
        <v>303</v>
      </c>
      <c r="AC19" s="21" t="s">
        <v>258</v>
      </c>
      <c r="AD19" s="21" t="s">
        <v>258</v>
      </c>
      <c r="AE19" s="21" t="s">
        <v>303</v>
      </c>
      <c r="AF19" s="21" t="s">
        <v>303</v>
      </c>
      <c r="AG19" s="21" t="s">
        <v>258</v>
      </c>
      <c r="AH19" s="21" t="s">
        <v>258</v>
      </c>
      <c r="AI19" s="21" t="s">
        <v>258</v>
      </c>
      <c r="AJ19" s="21" t="s">
        <v>303</v>
      </c>
    </row>
    <row r="20" spans="1:74" s="1" customFormat="1" x14ac:dyDescent="0.2">
      <c r="A20" s="21"/>
      <c r="B20" s="21"/>
      <c r="C20" s="21" t="s">
        <v>259</v>
      </c>
      <c r="D20" s="21" t="s">
        <v>259</v>
      </c>
      <c r="E20" s="21" t="s">
        <v>259</v>
      </c>
      <c r="F20" s="21" t="s">
        <v>262</v>
      </c>
      <c r="G20" s="21" t="s">
        <v>259</v>
      </c>
      <c r="H20" s="21" t="s">
        <v>259</v>
      </c>
      <c r="I20" s="21" t="s">
        <v>259</v>
      </c>
      <c r="J20" s="21" t="s">
        <v>262</v>
      </c>
      <c r="K20" s="21" t="s">
        <v>259</v>
      </c>
      <c r="L20" s="21"/>
      <c r="M20" s="21" t="s">
        <v>259</v>
      </c>
      <c r="N20" s="21" t="s">
        <v>259</v>
      </c>
      <c r="O20" s="21" t="s">
        <v>259</v>
      </c>
      <c r="P20" s="21" t="s">
        <v>262</v>
      </c>
      <c r="Q20" s="21" t="s">
        <v>259</v>
      </c>
      <c r="R20" s="21" t="s">
        <v>259</v>
      </c>
      <c r="S20" s="21" t="s">
        <v>259</v>
      </c>
      <c r="T20" s="21" t="s">
        <v>262</v>
      </c>
      <c r="U20" s="21" t="s">
        <v>259</v>
      </c>
      <c r="V20" s="21" t="s">
        <v>259</v>
      </c>
      <c r="W20" s="21" t="s">
        <v>259</v>
      </c>
      <c r="X20" s="21"/>
      <c r="Y20" s="21" t="s">
        <v>259</v>
      </c>
      <c r="Z20" s="21" t="s">
        <v>259</v>
      </c>
      <c r="AA20" s="21" t="s">
        <v>304</v>
      </c>
      <c r="AB20" s="21" t="s">
        <v>304</v>
      </c>
      <c r="AC20" s="21" t="s">
        <v>259</v>
      </c>
      <c r="AD20" s="21" t="s">
        <v>259</v>
      </c>
      <c r="AE20" s="21" t="s">
        <v>304</v>
      </c>
      <c r="AF20" s="21" t="s">
        <v>304</v>
      </c>
      <c r="AG20" s="21" t="s">
        <v>259</v>
      </c>
      <c r="AH20" s="21" t="s">
        <v>259</v>
      </c>
      <c r="AI20" s="21" t="s">
        <v>259</v>
      </c>
      <c r="AJ20" s="21" t="s">
        <v>304</v>
      </c>
    </row>
    <row r="21" spans="1:74" s="1" customFormat="1" x14ac:dyDescent="0.2">
      <c r="A21" s="27"/>
      <c r="B21" s="27"/>
      <c r="C21" s="27" t="s">
        <v>257</v>
      </c>
      <c r="D21" s="27" t="s">
        <v>257</v>
      </c>
      <c r="E21" s="27" t="s">
        <v>257</v>
      </c>
      <c r="F21" s="27" t="s">
        <v>257</v>
      </c>
      <c r="G21" s="27" t="s">
        <v>257</v>
      </c>
      <c r="H21" s="27" t="s">
        <v>257</v>
      </c>
      <c r="I21" s="27" t="s">
        <v>257</v>
      </c>
      <c r="J21" s="27" t="s">
        <v>257</v>
      </c>
      <c r="K21" s="27" t="s">
        <v>257</v>
      </c>
      <c r="L21" s="27"/>
      <c r="M21" s="27" t="s">
        <v>257</v>
      </c>
      <c r="N21" s="27" t="s">
        <v>257</v>
      </c>
      <c r="O21" s="27" t="s">
        <v>257</v>
      </c>
      <c r="P21" s="27" t="s">
        <v>257</v>
      </c>
      <c r="Q21" s="27" t="s">
        <v>257</v>
      </c>
      <c r="R21" s="27" t="s">
        <v>257</v>
      </c>
      <c r="S21" s="27" t="s">
        <v>257</v>
      </c>
      <c r="T21" s="27" t="s">
        <v>257</v>
      </c>
      <c r="U21" s="27" t="s">
        <v>257</v>
      </c>
      <c r="V21" s="27" t="s">
        <v>257</v>
      </c>
      <c r="W21" s="27" t="s">
        <v>257</v>
      </c>
      <c r="X21" s="27"/>
      <c r="Y21" s="27" t="s">
        <v>257</v>
      </c>
      <c r="Z21" s="27" t="s">
        <v>257</v>
      </c>
      <c r="AA21" s="27" t="s">
        <v>305</v>
      </c>
      <c r="AB21" s="27" t="s">
        <v>305</v>
      </c>
      <c r="AC21" s="27" t="s">
        <v>257</v>
      </c>
      <c r="AD21" s="27" t="s">
        <v>257</v>
      </c>
      <c r="AE21" s="27" t="s">
        <v>305</v>
      </c>
      <c r="AF21" s="27" t="s">
        <v>305</v>
      </c>
      <c r="AG21" s="27" t="s">
        <v>257</v>
      </c>
      <c r="AH21" s="27" t="s">
        <v>257</v>
      </c>
      <c r="AI21" s="27" t="s">
        <v>257</v>
      </c>
      <c r="AJ21" s="27" t="s">
        <v>305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</row>
    <row r="22" spans="1:74" s="1" customForma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</row>
    <row r="23" spans="1:74" s="1" customFormat="1" x14ac:dyDescent="0.2">
      <c r="A23" s="72" t="s">
        <v>53</v>
      </c>
      <c r="B23" s="116">
        <v>2500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7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7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</row>
    <row r="24" spans="1:74" s="1" customFormat="1" x14ac:dyDescent="0.2">
      <c r="A24" s="72" t="s">
        <v>70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9">
        <v>15000</v>
      </c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9">
        <v>5500</v>
      </c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</row>
    <row r="25" spans="1:74" s="1" customFormat="1" x14ac:dyDescent="0.2">
      <c r="A25" s="72" t="s">
        <v>333</v>
      </c>
      <c r="B25" s="209">
        <v>120</v>
      </c>
      <c r="C25" s="209">
        <v>120</v>
      </c>
      <c r="D25" s="209">
        <v>120</v>
      </c>
      <c r="E25" s="209">
        <v>120</v>
      </c>
      <c r="F25" s="209">
        <v>120</v>
      </c>
      <c r="G25" s="209">
        <v>120</v>
      </c>
      <c r="H25" s="209">
        <v>120</v>
      </c>
      <c r="I25" s="209">
        <v>120</v>
      </c>
      <c r="J25" s="209">
        <v>120</v>
      </c>
      <c r="K25" s="209">
        <v>120</v>
      </c>
      <c r="L25" s="209">
        <v>140</v>
      </c>
      <c r="M25" s="209">
        <v>140</v>
      </c>
      <c r="N25" s="209">
        <v>140</v>
      </c>
      <c r="O25" s="209">
        <v>140</v>
      </c>
      <c r="P25" s="209">
        <v>140</v>
      </c>
      <c r="Q25" s="209">
        <v>140</v>
      </c>
      <c r="R25" s="209">
        <v>140</v>
      </c>
      <c r="S25" s="209">
        <v>140</v>
      </c>
      <c r="T25" s="209">
        <v>140</v>
      </c>
      <c r="U25" s="209">
        <v>140</v>
      </c>
      <c r="V25" s="209">
        <v>140</v>
      </c>
      <c r="W25" s="209">
        <v>140</v>
      </c>
      <c r="X25" s="209">
        <v>120</v>
      </c>
      <c r="Y25" s="209">
        <v>120</v>
      </c>
      <c r="Z25" s="209">
        <v>120</v>
      </c>
      <c r="AA25" s="209">
        <v>120</v>
      </c>
      <c r="AB25" s="209">
        <v>120</v>
      </c>
      <c r="AC25" s="209">
        <v>120</v>
      </c>
      <c r="AD25" s="209">
        <v>120</v>
      </c>
      <c r="AE25" s="209">
        <v>120</v>
      </c>
      <c r="AF25" s="209">
        <v>120</v>
      </c>
      <c r="AG25" s="209">
        <v>120</v>
      </c>
      <c r="AH25" s="209">
        <v>120</v>
      </c>
      <c r="AI25" s="209">
        <v>120</v>
      </c>
      <c r="AJ25" s="209">
        <v>120</v>
      </c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</row>
    <row r="26" spans="1:74" s="1" customFormat="1" x14ac:dyDescent="0.2">
      <c r="A26" s="36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9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9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</row>
    <row r="27" spans="1:74" s="1" customFormat="1" x14ac:dyDescent="0.2">
      <c r="A27" s="72" t="s">
        <v>196</v>
      </c>
      <c r="B27" s="118"/>
      <c r="C27" s="143"/>
      <c r="D27" s="143"/>
      <c r="E27" s="143">
        <v>6.2</v>
      </c>
      <c r="F27" s="143">
        <v>10.600000000000001</v>
      </c>
      <c r="G27" s="143"/>
      <c r="H27" s="143"/>
      <c r="I27" s="143">
        <v>4.5</v>
      </c>
      <c r="J27" s="143">
        <v>8.9</v>
      </c>
      <c r="K27" s="143"/>
      <c r="L27" s="144"/>
      <c r="M27" s="143"/>
      <c r="N27" s="143"/>
      <c r="O27" s="143">
        <v>4.0999999999999996</v>
      </c>
      <c r="P27" s="143">
        <v>7.3</v>
      </c>
      <c r="Q27" s="143"/>
      <c r="R27" s="143"/>
      <c r="S27" s="143">
        <v>3.8</v>
      </c>
      <c r="T27" s="143">
        <v>6.8</v>
      </c>
      <c r="U27" s="143"/>
      <c r="V27" s="143"/>
      <c r="W27" s="143">
        <v>3.8</v>
      </c>
      <c r="X27" s="144"/>
      <c r="Y27" s="143"/>
      <c r="Z27" s="143"/>
      <c r="AA27" s="143">
        <v>2.8</v>
      </c>
      <c r="AB27" s="143">
        <v>2.8</v>
      </c>
      <c r="AC27" s="143"/>
      <c r="AD27" s="143"/>
      <c r="AE27" s="143">
        <v>2.4</v>
      </c>
      <c r="AF27" s="143">
        <v>2.4</v>
      </c>
      <c r="AG27" s="143"/>
      <c r="AH27" s="143"/>
      <c r="AI27" s="143">
        <v>1.2</v>
      </c>
      <c r="AJ27" s="143">
        <v>2.4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</row>
    <row r="28" spans="1:74" s="1" customFormat="1" x14ac:dyDescent="0.2">
      <c r="A28" s="145" t="s">
        <v>203</v>
      </c>
      <c r="B28" s="146"/>
      <c r="C28" s="146"/>
      <c r="D28" s="146"/>
      <c r="E28" s="146">
        <v>130</v>
      </c>
      <c r="F28" s="146">
        <v>0</v>
      </c>
      <c r="G28" s="146"/>
      <c r="H28" s="146"/>
      <c r="I28" s="146">
        <v>90</v>
      </c>
      <c r="J28" s="146">
        <v>0</v>
      </c>
      <c r="K28" s="146"/>
      <c r="L28" s="147"/>
      <c r="M28" s="146"/>
      <c r="N28" s="146"/>
      <c r="O28" s="146">
        <v>80</v>
      </c>
      <c r="P28" s="146">
        <v>0</v>
      </c>
      <c r="Q28" s="146"/>
      <c r="R28" s="146"/>
      <c r="S28" s="146">
        <v>80</v>
      </c>
      <c r="T28" s="146">
        <v>0</v>
      </c>
      <c r="U28" s="146"/>
      <c r="V28" s="146"/>
      <c r="W28" s="146">
        <v>80</v>
      </c>
      <c r="X28" s="147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</row>
    <row r="29" spans="1:74" s="1" customFormat="1" x14ac:dyDescent="0.2">
      <c r="A29" s="72" t="s">
        <v>197</v>
      </c>
      <c r="B29" s="118"/>
      <c r="C29" s="136"/>
      <c r="D29" s="136"/>
      <c r="E29" s="136">
        <v>4.5</v>
      </c>
      <c r="F29" s="136">
        <v>4.5</v>
      </c>
      <c r="G29" s="136"/>
      <c r="H29" s="136"/>
      <c r="I29" s="136">
        <v>4.5</v>
      </c>
      <c r="J29" s="136">
        <v>4.5</v>
      </c>
      <c r="K29" s="136"/>
      <c r="L29" s="137"/>
      <c r="M29" s="136"/>
      <c r="N29" s="136"/>
      <c r="O29" s="136">
        <v>4.5</v>
      </c>
      <c r="P29" s="136">
        <v>4.5</v>
      </c>
      <c r="Q29" s="136"/>
      <c r="R29" s="136"/>
      <c r="S29" s="136">
        <v>4.5</v>
      </c>
      <c r="T29" s="136">
        <v>4.5</v>
      </c>
      <c r="U29" s="136"/>
      <c r="V29" s="136"/>
      <c r="W29" s="136">
        <v>4.5</v>
      </c>
      <c r="X29" s="137"/>
      <c r="Y29" s="136"/>
      <c r="Z29" s="136"/>
      <c r="AA29" s="136">
        <v>4</v>
      </c>
      <c r="AB29" s="136">
        <v>4</v>
      </c>
      <c r="AC29" s="136"/>
      <c r="AD29" s="136"/>
      <c r="AE29" s="136">
        <v>4</v>
      </c>
      <c r="AF29" s="136">
        <v>4</v>
      </c>
      <c r="AG29" s="136"/>
      <c r="AH29" s="136"/>
      <c r="AI29" s="136">
        <v>4</v>
      </c>
      <c r="AJ29" s="136">
        <v>4</v>
      </c>
    </row>
    <row r="30" spans="1:74" s="1" customFormat="1" x14ac:dyDescent="0.2">
      <c r="A30" s="72" t="s">
        <v>89</v>
      </c>
      <c r="B30" s="118"/>
      <c r="C30" s="120">
        <v>35</v>
      </c>
      <c r="D30" s="120">
        <v>35</v>
      </c>
      <c r="E30" s="120">
        <v>35</v>
      </c>
      <c r="F30" s="120">
        <v>35</v>
      </c>
      <c r="G30" s="120">
        <v>35</v>
      </c>
      <c r="H30" s="120">
        <v>35</v>
      </c>
      <c r="I30" s="120">
        <v>35</v>
      </c>
      <c r="J30" s="120">
        <v>35</v>
      </c>
      <c r="K30" s="120">
        <v>35</v>
      </c>
      <c r="L30" s="117"/>
      <c r="M30" s="120">
        <v>35</v>
      </c>
      <c r="N30" s="120">
        <v>35</v>
      </c>
      <c r="O30" s="120">
        <v>35</v>
      </c>
      <c r="P30" s="120">
        <v>35</v>
      </c>
      <c r="Q30" s="120">
        <v>35</v>
      </c>
      <c r="R30" s="120">
        <v>35</v>
      </c>
      <c r="S30" s="120">
        <v>35</v>
      </c>
      <c r="T30" s="120">
        <v>35</v>
      </c>
      <c r="U30" s="120">
        <v>35</v>
      </c>
      <c r="V30" s="120">
        <v>35</v>
      </c>
      <c r="W30" s="120">
        <v>35</v>
      </c>
      <c r="X30" s="117"/>
      <c r="Y30" s="120">
        <v>35</v>
      </c>
      <c r="Z30" s="120">
        <v>35</v>
      </c>
      <c r="AA30" s="120">
        <v>35</v>
      </c>
      <c r="AB30" s="120">
        <v>35</v>
      </c>
      <c r="AC30" s="120">
        <v>35</v>
      </c>
      <c r="AD30" s="120">
        <v>35</v>
      </c>
      <c r="AE30" s="120">
        <v>35</v>
      </c>
      <c r="AF30" s="120">
        <v>35</v>
      </c>
      <c r="AG30" s="120">
        <v>35</v>
      </c>
      <c r="AH30" s="120">
        <v>35</v>
      </c>
      <c r="AI30" s="120">
        <v>35</v>
      </c>
      <c r="AJ30" s="120">
        <v>35</v>
      </c>
    </row>
    <row r="31" spans="1:74" s="1" customFormat="1" x14ac:dyDescent="0.2">
      <c r="A31" s="159"/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2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51"/>
    </row>
    <row r="32" spans="1:74" s="1" customFormat="1" x14ac:dyDescent="0.2">
      <c r="A32" s="72" t="s">
        <v>275</v>
      </c>
      <c r="B32" s="68"/>
      <c r="C32" s="155">
        <v>0.81</v>
      </c>
      <c r="D32" s="155">
        <v>0.81</v>
      </c>
      <c r="E32" s="155"/>
      <c r="F32" s="155"/>
      <c r="G32" s="155">
        <v>0.81</v>
      </c>
      <c r="H32" s="155">
        <v>0.81</v>
      </c>
      <c r="I32" s="155"/>
      <c r="J32" s="155"/>
      <c r="K32" s="155">
        <v>0.81</v>
      </c>
      <c r="L32" s="155"/>
      <c r="M32" s="155">
        <v>0.81</v>
      </c>
      <c r="N32" s="155">
        <v>0.81</v>
      </c>
      <c r="O32" s="155"/>
      <c r="P32" s="155"/>
      <c r="Q32" s="155">
        <v>0.81</v>
      </c>
      <c r="R32" s="155">
        <v>0.81</v>
      </c>
      <c r="S32" s="155"/>
      <c r="T32" s="155"/>
      <c r="U32" s="155">
        <v>0.81</v>
      </c>
      <c r="V32" s="155">
        <v>0.81</v>
      </c>
      <c r="W32" s="155"/>
      <c r="X32" s="155"/>
      <c r="Y32" s="155">
        <v>0.79</v>
      </c>
      <c r="Z32" s="155">
        <v>0.79</v>
      </c>
      <c r="AA32" s="155"/>
      <c r="AB32" s="155"/>
      <c r="AC32" s="155">
        <v>0.79</v>
      </c>
      <c r="AD32" s="155">
        <v>0.79</v>
      </c>
      <c r="AE32" s="155"/>
      <c r="AF32" s="155"/>
      <c r="AG32" s="155">
        <v>0.79</v>
      </c>
      <c r="AH32" s="155">
        <v>0.79</v>
      </c>
      <c r="AI32" s="155"/>
      <c r="AJ32" s="155"/>
    </row>
    <row r="33" spans="1:36" s="1" customFormat="1" x14ac:dyDescent="0.2">
      <c r="A33" s="159"/>
      <c r="B33" s="160"/>
      <c r="C33" s="161"/>
      <c r="D33" s="161"/>
      <c r="E33" s="161"/>
      <c r="F33" s="161"/>
      <c r="G33" s="161"/>
      <c r="H33" s="161"/>
      <c r="I33" s="161"/>
      <c r="J33" s="161"/>
      <c r="K33" s="161"/>
      <c r="L33" s="162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</row>
    <row r="34" spans="1:36" s="1" customFormat="1" x14ac:dyDescent="0.2">
      <c r="A34" s="72" t="s">
        <v>251</v>
      </c>
      <c r="B34" s="175"/>
      <c r="C34" s="175">
        <v>12</v>
      </c>
      <c r="D34" s="175">
        <v>39</v>
      </c>
      <c r="E34" s="175">
        <v>12</v>
      </c>
      <c r="F34" s="175">
        <v>28.8</v>
      </c>
      <c r="G34" s="175">
        <v>12</v>
      </c>
      <c r="H34" s="175">
        <v>39</v>
      </c>
      <c r="I34" s="175">
        <v>12</v>
      </c>
      <c r="J34" s="175">
        <v>24</v>
      </c>
      <c r="K34" s="175">
        <v>12</v>
      </c>
      <c r="L34" s="175"/>
      <c r="M34" s="175">
        <v>12</v>
      </c>
      <c r="N34" s="175">
        <v>39</v>
      </c>
      <c r="O34" s="175">
        <v>12</v>
      </c>
      <c r="P34" s="175">
        <v>19.7</v>
      </c>
      <c r="Q34" s="175">
        <v>12</v>
      </c>
      <c r="R34" s="175">
        <v>39</v>
      </c>
      <c r="S34" s="175">
        <v>12</v>
      </c>
      <c r="T34" s="175">
        <v>18.5</v>
      </c>
      <c r="U34" s="175">
        <v>12</v>
      </c>
      <c r="V34" s="175">
        <v>39</v>
      </c>
      <c r="W34" s="175">
        <v>12</v>
      </c>
      <c r="X34" s="175"/>
      <c r="Y34" s="175">
        <v>6</v>
      </c>
      <c r="Z34" s="175">
        <v>12</v>
      </c>
      <c r="AA34" s="175"/>
      <c r="AB34" s="175"/>
      <c r="AC34" s="175">
        <v>6</v>
      </c>
      <c r="AD34" s="175">
        <v>12</v>
      </c>
      <c r="AE34" s="175"/>
      <c r="AF34" s="175"/>
      <c r="AG34" s="175">
        <v>6</v>
      </c>
      <c r="AH34" s="175">
        <v>12</v>
      </c>
      <c r="AI34" s="175">
        <v>6</v>
      </c>
      <c r="AJ34" s="175"/>
    </row>
    <row r="35" spans="1:36" s="1" customFormat="1" x14ac:dyDescent="0.2">
      <c r="A35" s="159"/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2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</row>
    <row r="36" spans="1:36" s="1" customFormat="1" x14ac:dyDescent="0.2">
      <c r="A36" s="163" t="s">
        <v>206</v>
      </c>
      <c r="B36" s="153"/>
      <c r="C36" s="176">
        <v>4</v>
      </c>
      <c r="D36" s="176">
        <v>4</v>
      </c>
      <c r="E36" s="176">
        <v>8</v>
      </c>
      <c r="F36" s="176">
        <v>11.4</v>
      </c>
      <c r="G36" s="176">
        <v>4</v>
      </c>
      <c r="H36" s="176">
        <v>4</v>
      </c>
      <c r="I36" s="176">
        <v>8</v>
      </c>
      <c r="J36" s="176">
        <v>11.2</v>
      </c>
      <c r="K36" s="176">
        <v>8</v>
      </c>
      <c r="L36" s="177"/>
      <c r="M36" s="176">
        <v>3</v>
      </c>
      <c r="N36" s="176">
        <v>3</v>
      </c>
      <c r="O36" s="176">
        <v>6</v>
      </c>
      <c r="P36" s="176">
        <v>10.9</v>
      </c>
      <c r="Q36" s="176">
        <v>3</v>
      </c>
      <c r="R36" s="176">
        <v>3</v>
      </c>
      <c r="S36" s="176">
        <v>6</v>
      </c>
      <c r="T36" s="176">
        <v>10.9</v>
      </c>
      <c r="U36" s="176">
        <v>8</v>
      </c>
      <c r="V36" s="176">
        <v>4</v>
      </c>
      <c r="W36" s="176">
        <v>8</v>
      </c>
      <c r="X36" s="177"/>
      <c r="Y36" s="176">
        <v>3</v>
      </c>
      <c r="Z36" s="176">
        <v>3</v>
      </c>
      <c r="AA36" s="176">
        <v>3</v>
      </c>
      <c r="AB36" s="176">
        <v>6</v>
      </c>
      <c r="AC36" s="176">
        <v>3</v>
      </c>
      <c r="AD36" s="176">
        <v>3</v>
      </c>
      <c r="AE36" s="176">
        <v>3</v>
      </c>
      <c r="AF36" s="176">
        <v>6</v>
      </c>
      <c r="AG36" s="176">
        <v>9</v>
      </c>
      <c r="AH36" s="176">
        <v>8</v>
      </c>
      <c r="AI36" s="176">
        <v>9</v>
      </c>
      <c r="AJ36" s="176">
        <v>9.9</v>
      </c>
    </row>
    <row r="37" spans="1:36" s="1" customFormat="1" x14ac:dyDescent="0.2">
      <c r="A37" s="163" t="s">
        <v>252</v>
      </c>
      <c r="B37" s="153"/>
      <c r="C37" s="176"/>
      <c r="D37" s="176"/>
      <c r="E37" s="176"/>
      <c r="F37" s="176">
        <v>5.8</v>
      </c>
      <c r="G37" s="176"/>
      <c r="H37" s="176"/>
      <c r="I37" s="176"/>
      <c r="J37" s="176">
        <v>4.9000000000000004</v>
      </c>
      <c r="K37" s="176"/>
      <c r="L37" s="177"/>
      <c r="M37" s="176"/>
      <c r="N37" s="176"/>
      <c r="O37" s="176"/>
      <c r="P37" s="176">
        <v>4</v>
      </c>
      <c r="Q37" s="176"/>
      <c r="R37" s="176"/>
      <c r="S37" s="176"/>
      <c r="T37" s="176">
        <v>3.8</v>
      </c>
      <c r="U37" s="176"/>
      <c r="V37" s="176"/>
      <c r="W37" s="176"/>
      <c r="X37" s="177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</row>
    <row r="38" spans="1:36" s="1" customFormat="1" x14ac:dyDescent="0.2">
      <c r="A38" s="163" t="s">
        <v>207</v>
      </c>
      <c r="B38" s="153"/>
      <c r="C38" s="154">
        <v>8.1999999999999993</v>
      </c>
      <c r="D38" s="154">
        <v>8.1999999999999993</v>
      </c>
      <c r="E38" s="154">
        <v>8.1999999999999993</v>
      </c>
      <c r="F38" s="154">
        <v>8.06</v>
      </c>
      <c r="G38" s="154">
        <v>8.1999999999999993</v>
      </c>
      <c r="H38" s="154">
        <v>8.1999999999999993</v>
      </c>
      <c r="I38" s="154">
        <v>8.1999999999999993</v>
      </c>
      <c r="J38" s="154">
        <v>8.08</v>
      </c>
      <c r="K38" s="154">
        <v>8.1999999999999993</v>
      </c>
      <c r="L38" s="163"/>
      <c r="M38" s="154">
        <v>8.1999999999999993</v>
      </c>
      <c r="N38" s="154">
        <v>8.1999999999999993</v>
      </c>
      <c r="O38" s="154">
        <v>8.1999999999999993</v>
      </c>
      <c r="P38" s="154">
        <v>8.11</v>
      </c>
      <c r="Q38" s="154">
        <v>8.1999999999999993</v>
      </c>
      <c r="R38" s="154">
        <v>8.1999999999999993</v>
      </c>
      <c r="S38" s="154">
        <v>8.1999999999999993</v>
      </c>
      <c r="T38" s="154">
        <v>8.11</v>
      </c>
      <c r="U38" s="154">
        <v>8.1999999999999993</v>
      </c>
      <c r="V38" s="154">
        <v>8.1999999999999993</v>
      </c>
      <c r="W38" s="154">
        <v>8.1999999999999993</v>
      </c>
      <c r="X38" s="163"/>
      <c r="Y38" s="154">
        <v>8.1999999999999993</v>
      </c>
      <c r="Z38" s="154">
        <v>8.1999999999999993</v>
      </c>
      <c r="AA38" s="154">
        <v>8.1999999999999993</v>
      </c>
      <c r="AB38" s="154">
        <v>6.2</v>
      </c>
      <c r="AC38" s="154">
        <v>8.1999999999999993</v>
      </c>
      <c r="AD38" s="154">
        <v>8.1999999999999993</v>
      </c>
      <c r="AE38" s="154">
        <v>8.1999999999999993</v>
      </c>
      <c r="AF38" s="154">
        <v>8.1999999999999993</v>
      </c>
      <c r="AG38" s="154">
        <v>8.1999999999999993</v>
      </c>
      <c r="AH38" s="154">
        <v>8.1999999999999993</v>
      </c>
      <c r="AI38" s="154">
        <v>8.1999999999999993</v>
      </c>
      <c r="AJ38" s="154">
        <v>8.1999999999999993</v>
      </c>
    </row>
    <row r="39" spans="1:36" s="1" customFormat="1" x14ac:dyDescent="0.2">
      <c r="A39" s="163" t="s">
        <v>332</v>
      </c>
      <c r="B39" s="153"/>
      <c r="C39" s="155">
        <v>1.1000000000000001</v>
      </c>
      <c r="D39" s="155">
        <v>1.1000000000000001</v>
      </c>
      <c r="E39" s="156">
        <f t="shared" ref="E39:F41" si="0">D39</f>
        <v>1.1000000000000001</v>
      </c>
      <c r="F39" s="156">
        <f t="shared" si="0"/>
        <v>1.1000000000000001</v>
      </c>
      <c r="G39" s="155">
        <v>1.1000000000000001</v>
      </c>
      <c r="H39" s="155">
        <v>1.1000000000000001</v>
      </c>
      <c r="I39" s="156">
        <f t="shared" ref="I39:J39" si="1">H39</f>
        <v>1.1000000000000001</v>
      </c>
      <c r="J39" s="156">
        <f t="shared" si="1"/>
        <v>1.1000000000000001</v>
      </c>
      <c r="K39" s="155">
        <v>1.1000000000000001</v>
      </c>
      <c r="L39" s="163"/>
      <c r="M39" s="155">
        <v>1.1000000000000001</v>
      </c>
      <c r="N39" s="155">
        <v>1.1000000000000001</v>
      </c>
      <c r="O39" s="156">
        <f t="shared" ref="O39:P39" si="2">N39</f>
        <v>1.1000000000000001</v>
      </c>
      <c r="P39" s="156">
        <f t="shared" si="2"/>
        <v>1.1000000000000001</v>
      </c>
      <c r="Q39" s="155">
        <v>1.1000000000000001</v>
      </c>
      <c r="R39" s="155">
        <v>1.1000000000000001</v>
      </c>
      <c r="S39" s="156">
        <f t="shared" ref="S39:T39" si="3">R39</f>
        <v>1.1000000000000001</v>
      </c>
      <c r="T39" s="156">
        <f t="shared" si="3"/>
        <v>1.1000000000000001</v>
      </c>
      <c r="U39" s="155">
        <v>1.1000000000000001</v>
      </c>
      <c r="V39" s="155">
        <v>1.1000000000000001</v>
      </c>
      <c r="W39" s="156">
        <f t="shared" ref="W39" si="4">V39</f>
        <v>1.1000000000000001</v>
      </c>
      <c r="X39" s="163"/>
      <c r="Y39" s="155">
        <v>1.1000000000000001</v>
      </c>
      <c r="Z39" s="155">
        <v>1.1000000000000001</v>
      </c>
      <c r="AA39" s="156">
        <f t="shared" ref="AA39:AB39" si="5">Z39</f>
        <v>1.1000000000000001</v>
      </c>
      <c r="AB39" s="156">
        <f t="shared" si="5"/>
        <v>1.1000000000000001</v>
      </c>
      <c r="AC39" s="155">
        <v>1.1000000000000001</v>
      </c>
      <c r="AD39" s="155">
        <v>1.1000000000000001</v>
      </c>
      <c r="AE39" s="156">
        <f t="shared" ref="AE39:AF39" si="6">AD39</f>
        <v>1.1000000000000001</v>
      </c>
      <c r="AF39" s="156">
        <f t="shared" si="6"/>
        <v>1.1000000000000001</v>
      </c>
      <c r="AG39" s="155">
        <v>1.1000000000000001</v>
      </c>
      <c r="AH39" s="155">
        <v>1.1000000000000001</v>
      </c>
      <c r="AI39" s="156">
        <f t="shared" ref="AI39:AI41" si="7">AH39</f>
        <v>1.1000000000000001</v>
      </c>
      <c r="AJ39" s="156">
        <f t="shared" ref="AJ39:AJ41" si="8">AI39</f>
        <v>1.1000000000000001</v>
      </c>
    </row>
    <row r="40" spans="1:36" s="1" customFormat="1" x14ac:dyDescent="0.2">
      <c r="A40" s="163" t="s">
        <v>208</v>
      </c>
      <c r="B40" s="153"/>
      <c r="C40" s="155">
        <v>1</v>
      </c>
      <c r="D40" s="155">
        <v>1</v>
      </c>
      <c r="E40" s="156">
        <f t="shared" si="0"/>
        <v>1</v>
      </c>
      <c r="F40" s="156">
        <f t="shared" si="0"/>
        <v>1</v>
      </c>
      <c r="G40" s="155">
        <v>1</v>
      </c>
      <c r="H40" s="155">
        <v>1</v>
      </c>
      <c r="I40" s="156">
        <f t="shared" ref="I40:J40" si="9">H40</f>
        <v>1</v>
      </c>
      <c r="J40" s="156">
        <f t="shared" si="9"/>
        <v>1</v>
      </c>
      <c r="K40" s="155">
        <v>1</v>
      </c>
      <c r="L40" s="163"/>
      <c r="M40" s="155">
        <v>1</v>
      </c>
      <c r="N40" s="155">
        <v>1</v>
      </c>
      <c r="O40" s="156">
        <f t="shared" ref="O40:P40" si="10">N40</f>
        <v>1</v>
      </c>
      <c r="P40" s="156">
        <f t="shared" si="10"/>
        <v>1</v>
      </c>
      <c r="Q40" s="155">
        <v>1</v>
      </c>
      <c r="R40" s="155">
        <v>1</v>
      </c>
      <c r="S40" s="156">
        <f t="shared" ref="S40:T40" si="11">R40</f>
        <v>1</v>
      </c>
      <c r="T40" s="156">
        <f t="shared" si="11"/>
        <v>1</v>
      </c>
      <c r="U40" s="155">
        <v>1</v>
      </c>
      <c r="V40" s="155">
        <v>1</v>
      </c>
      <c r="W40" s="156">
        <f t="shared" ref="W40" si="12">V40</f>
        <v>1</v>
      </c>
      <c r="X40" s="163"/>
      <c r="Y40" s="155">
        <v>1</v>
      </c>
      <c r="Z40" s="155">
        <v>1</v>
      </c>
      <c r="AA40" s="156">
        <f t="shared" ref="AA40:AB40" si="13">Z40</f>
        <v>1</v>
      </c>
      <c r="AB40" s="156">
        <f t="shared" si="13"/>
        <v>1</v>
      </c>
      <c r="AC40" s="155">
        <v>1</v>
      </c>
      <c r="AD40" s="155">
        <v>1</v>
      </c>
      <c r="AE40" s="156">
        <f t="shared" ref="AE40:AF40" si="14">AD40</f>
        <v>1</v>
      </c>
      <c r="AF40" s="156">
        <f t="shared" si="14"/>
        <v>1</v>
      </c>
      <c r="AG40" s="155">
        <v>1</v>
      </c>
      <c r="AH40" s="155">
        <v>1</v>
      </c>
      <c r="AI40" s="156">
        <f t="shared" si="7"/>
        <v>1</v>
      </c>
      <c r="AJ40" s="156">
        <f t="shared" si="8"/>
        <v>1</v>
      </c>
    </row>
    <row r="41" spans="1:36" s="1" customFormat="1" x14ac:dyDescent="0.2">
      <c r="A41" s="163" t="s">
        <v>209</v>
      </c>
      <c r="B41" s="153"/>
      <c r="C41" s="155">
        <v>0.93</v>
      </c>
      <c r="D41" s="155">
        <v>0.93</v>
      </c>
      <c r="E41" s="156">
        <f t="shared" si="0"/>
        <v>0.93</v>
      </c>
      <c r="F41" s="156">
        <f t="shared" si="0"/>
        <v>0.93</v>
      </c>
      <c r="G41" s="155">
        <v>0.93</v>
      </c>
      <c r="H41" s="155">
        <v>0.93</v>
      </c>
      <c r="I41" s="156">
        <f t="shared" ref="I41:J41" si="15">H41</f>
        <v>0.93</v>
      </c>
      <c r="J41" s="156">
        <f t="shared" si="15"/>
        <v>0.93</v>
      </c>
      <c r="K41" s="155">
        <v>0.93</v>
      </c>
      <c r="L41" s="163"/>
      <c r="M41" s="155">
        <v>0.93</v>
      </c>
      <c r="N41" s="155">
        <v>0.93</v>
      </c>
      <c r="O41" s="156">
        <f t="shared" ref="O41:P41" si="16">N41</f>
        <v>0.93</v>
      </c>
      <c r="P41" s="156">
        <f t="shared" si="16"/>
        <v>0.93</v>
      </c>
      <c r="Q41" s="155">
        <v>0.93</v>
      </c>
      <c r="R41" s="155">
        <v>0.93</v>
      </c>
      <c r="S41" s="156">
        <f t="shared" ref="S41:T41" si="17">R41</f>
        <v>0.93</v>
      </c>
      <c r="T41" s="156">
        <f t="shared" si="17"/>
        <v>0.93</v>
      </c>
      <c r="U41" s="155">
        <v>0.93</v>
      </c>
      <c r="V41" s="155">
        <v>0.93</v>
      </c>
      <c r="W41" s="156">
        <f t="shared" ref="W41" si="18">V41</f>
        <v>0.93</v>
      </c>
      <c r="X41" s="163"/>
      <c r="Y41" s="155">
        <v>0.93</v>
      </c>
      <c r="Z41" s="155">
        <v>0.93</v>
      </c>
      <c r="AA41" s="156">
        <f t="shared" ref="AA41:AB41" si="19">Z41</f>
        <v>0.93</v>
      </c>
      <c r="AB41" s="156">
        <f t="shared" si="19"/>
        <v>0.93</v>
      </c>
      <c r="AC41" s="155">
        <v>0.93</v>
      </c>
      <c r="AD41" s="155">
        <v>0.93</v>
      </c>
      <c r="AE41" s="156">
        <f t="shared" ref="AE41:AF41" si="20">AD41</f>
        <v>0.93</v>
      </c>
      <c r="AF41" s="156">
        <f t="shared" si="20"/>
        <v>0.93</v>
      </c>
      <c r="AG41" s="155">
        <v>0.93</v>
      </c>
      <c r="AH41" s="155">
        <v>0.93</v>
      </c>
      <c r="AI41" s="156">
        <f t="shared" si="7"/>
        <v>0.93</v>
      </c>
      <c r="AJ41" s="156">
        <f t="shared" si="8"/>
        <v>0.93</v>
      </c>
    </row>
    <row r="42" spans="1:36" s="1" customFormat="1" x14ac:dyDescent="0.2">
      <c r="A42" s="163" t="s">
        <v>12</v>
      </c>
      <c r="B42" s="153"/>
      <c r="C42" s="164">
        <v>4</v>
      </c>
      <c r="D42" s="164">
        <v>4</v>
      </c>
      <c r="E42" s="164">
        <v>8</v>
      </c>
      <c r="F42" s="164">
        <v>8</v>
      </c>
      <c r="G42" s="164">
        <v>4</v>
      </c>
      <c r="H42" s="164">
        <v>4</v>
      </c>
      <c r="I42" s="164">
        <v>8</v>
      </c>
      <c r="J42" s="164">
        <v>8</v>
      </c>
      <c r="K42" s="164">
        <v>8</v>
      </c>
      <c r="L42" s="163"/>
      <c r="M42" s="164">
        <v>3</v>
      </c>
      <c r="N42" s="164">
        <v>3</v>
      </c>
      <c r="O42" s="164">
        <v>6</v>
      </c>
      <c r="P42" s="164">
        <v>6</v>
      </c>
      <c r="Q42" s="164">
        <v>3</v>
      </c>
      <c r="R42" s="164">
        <v>3</v>
      </c>
      <c r="S42" s="164">
        <v>6</v>
      </c>
      <c r="T42" s="164">
        <v>6</v>
      </c>
      <c r="U42" s="164">
        <v>6</v>
      </c>
      <c r="V42" s="164">
        <v>3</v>
      </c>
      <c r="W42" s="164">
        <v>6</v>
      </c>
      <c r="X42" s="163"/>
      <c r="Y42" s="164">
        <v>3</v>
      </c>
      <c r="Z42" s="164">
        <v>3</v>
      </c>
      <c r="AA42" s="164">
        <v>3</v>
      </c>
      <c r="AB42" s="164">
        <v>6</v>
      </c>
      <c r="AC42" s="164">
        <v>3</v>
      </c>
      <c r="AD42" s="164">
        <v>3</v>
      </c>
      <c r="AE42" s="164">
        <v>3</v>
      </c>
      <c r="AF42" s="164">
        <v>6</v>
      </c>
      <c r="AG42" s="164">
        <v>6</v>
      </c>
      <c r="AH42" s="164">
        <v>6</v>
      </c>
      <c r="AI42" s="164">
        <v>6</v>
      </c>
      <c r="AJ42" s="164">
        <v>6</v>
      </c>
    </row>
    <row r="43" spans="1:36" s="1" customFormat="1" x14ac:dyDescent="0.2">
      <c r="A43" s="82"/>
      <c r="B43" s="83"/>
      <c r="C43" s="165"/>
      <c r="D43" s="165"/>
      <c r="E43" s="165"/>
      <c r="F43" s="165"/>
      <c r="G43" s="165"/>
      <c r="H43" s="165"/>
      <c r="I43" s="165"/>
      <c r="J43" s="165"/>
      <c r="K43" s="165"/>
      <c r="L43" s="82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82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</row>
    <row r="44" spans="1:36" s="1" customFormat="1" x14ac:dyDescent="0.2">
      <c r="A44" s="157" t="s">
        <v>7</v>
      </c>
      <c r="B44" s="158"/>
      <c r="C44" s="158">
        <v>14000</v>
      </c>
      <c r="D44" s="158">
        <v>14000</v>
      </c>
      <c r="E44" s="158">
        <v>19000</v>
      </c>
      <c r="F44" s="158">
        <v>30000</v>
      </c>
      <c r="G44" s="158">
        <v>14000</v>
      </c>
      <c r="H44" s="158">
        <v>14000</v>
      </c>
      <c r="I44" s="158">
        <v>14000</v>
      </c>
      <c r="J44" s="158">
        <v>26000</v>
      </c>
      <c r="K44" s="158">
        <v>14000</v>
      </c>
      <c r="L44" s="158"/>
      <c r="M44" s="158">
        <v>14000</v>
      </c>
      <c r="N44" s="158">
        <v>14000</v>
      </c>
      <c r="O44" s="158">
        <v>13000</v>
      </c>
      <c r="P44" s="158">
        <v>21000</v>
      </c>
      <c r="Q44" s="158">
        <v>14000</v>
      </c>
      <c r="R44" s="158">
        <v>14000</v>
      </c>
      <c r="S44" s="158">
        <v>12000</v>
      </c>
      <c r="T44" s="158">
        <v>20000</v>
      </c>
      <c r="U44" s="158">
        <v>14000</v>
      </c>
      <c r="V44" s="158">
        <v>14000</v>
      </c>
      <c r="W44" s="158">
        <v>12000</v>
      </c>
      <c r="X44" s="158"/>
      <c r="Y44" s="158">
        <v>4000</v>
      </c>
      <c r="Z44" s="158">
        <v>4000</v>
      </c>
      <c r="AA44" s="158">
        <v>10000</v>
      </c>
      <c r="AB44" s="158">
        <v>10000</v>
      </c>
      <c r="AC44" s="158">
        <v>4000</v>
      </c>
      <c r="AD44" s="158">
        <v>4000</v>
      </c>
      <c r="AE44" s="158">
        <v>9000</v>
      </c>
      <c r="AF44" s="158">
        <v>9000</v>
      </c>
      <c r="AG44" s="158">
        <v>4000</v>
      </c>
      <c r="AH44" s="158">
        <v>4000</v>
      </c>
      <c r="AI44" s="158">
        <v>6000</v>
      </c>
      <c r="AJ44" s="158">
        <v>9000</v>
      </c>
    </row>
    <row r="45" spans="1:36" s="1" customFormat="1" x14ac:dyDescent="0.2">
      <c r="A45" s="72" t="s">
        <v>201</v>
      </c>
      <c r="B45" s="87"/>
      <c r="C45" s="87"/>
      <c r="D45" s="87"/>
      <c r="E45" s="87">
        <f t="shared" ref="E45" si="21">10*ROUND(E28*11.8,0)</f>
        <v>15340</v>
      </c>
      <c r="F45" s="87">
        <f>10*ROUND(F28*11.8,0)</f>
        <v>0</v>
      </c>
      <c r="G45" s="87"/>
      <c r="H45" s="87"/>
      <c r="I45" s="87">
        <f t="shared" ref="I45" si="22">10*ROUND(I28*11.8,0)</f>
        <v>10620</v>
      </c>
      <c r="J45" s="87">
        <f>10*ROUND(J28*11.8,0)</f>
        <v>0</v>
      </c>
      <c r="K45" s="87"/>
      <c r="L45" s="87"/>
      <c r="M45" s="87"/>
      <c r="N45" s="87"/>
      <c r="O45" s="87">
        <f t="shared" ref="O45" si="23">10*ROUND(O28*11.8,0)</f>
        <v>9440</v>
      </c>
      <c r="P45" s="87">
        <f>10*ROUND(P28*11.8,0)</f>
        <v>0</v>
      </c>
      <c r="Q45" s="87"/>
      <c r="R45" s="87"/>
      <c r="S45" s="87">
        <f t="shared" ref="S45" si="24">10*ROUND(S28*11.8,0)</f>
        <v>9440</v>
      </c>
      <c r="T45" s="87">
        <f>10*ROUND(T28*11.8,0)</f>
        <v>0</v>
      </c>
      <c r="U45" s="87"/>
      <c r="V45" s="87"/>
      <c r="W45" s="87">
        <f t="shared" ref="W45" si="25">10*ROUND(W28*11.8,0)</f>
        <v>9440</v>
      </c>
      <c r="X45" s="87"/>
      <c r="Y45" s="87"/>
      <c r="Z45" s="87"/>
      <c r="AA45" s="87">
        <f t="shared" ref="AA45" si="26">10*ROUND(AA28*11.8,0)</f>
        <v>0</v>
      </c>
      <c r="AB45" s="87">
        <f>10*ROUND(AB28*11.8,0)</f>
        <v>0</v>
      </c>
      <c r="AC45" s="87"/>
      <c r="AD45" s="87"/>
      <c r="AE45" s="87">
        <f t="shared" ref="AE45" si="27">10*ROUND(AE28*11.8,0)</f>
        <v>0</v>
      </c>
      <c r="AF45" s="87">
        <f>10*ROUND(AF28*11.8,0)</f>
        <v>0</v>
      </c>
      <c r="AG45" s="87"/>
      <c r="AH45" s="87"/>
      <c r="AI45" s="87">
        <f t="shared" ref="AI45" si="28">10*ROUND(AI28*11.8,0)</f>
        <v>0</v>
      </c>
      <c r="AJ45" s="87">
        <f>10*ROUND(AJ28*11.8,0)</f>
        <v>0</v>
      </c>
    </row>
    <row r="46" spans="1:36" s="1" customFormat="1" x14ac:dyDescent="0.2">
      <c r="A46" s="72" t="s">
        <v>38</v>
      </c>
      <c r="B46" s="87"/>
      <c r="C46" s="87">
        <v>-9330</v>
      </c>
      <c r="D46" s="87">
        <v>-9330</v>
      </c>
      <c r="E46" s="87">
        <v>-9330</v>
      </c>
      <c r="F46" s="87">
        <v>-9330</v>
      </c>
      <c r="G46" s="87">
        <v>-9330</v>
      </c>
      <c r="H46" s="87">
        <v>-9330</v>
      </c>
      <c r="I46" s="87">
        <v>-9330</v>
      </c>
      <c r="J46" s="87">
        <v>-9330</v>
      </c>
      <c r="K46" s="87">
        <v>-9330</v>
      </c>
      <c r="L46" s="87"/>
      <c r="M46" s="87">
        <v>-8000</v>
      </c>
      <c r="N46" s="87">
        <v>-8000</v>
      </c>
      <c r="O46" s="87">
        <v>-8000</v>
      </c>
      <c r="P46" s="87">
        <v>-8000</v>
      </c>
      <c r="Q46" s="87">
        <v>-8000</v>
      </c>
      <c r="R46" s="87">
        <v>-8000</v>
      </c>
      <c r="S46" s="87">
        <v>-8000</v>
      </c>
      <c r="T46" s="87">
        <v>-8000</v>
      </c>
      <c r="U46" s="87">
        <v>-8000</v>
      </c>
      <c r="V46" s="87">
        <v>-8000</v>
      </c>
      <c r="W46" s="87">
        <v>-8000</v>
      </c>
      <c r="X46" s="87"/>
      <c r="Y46" s="87">
        <v>-6000</v>
      </c>
      <c r="Z46" s="87">
        <v>-6000</v>
      </c>
      <c r="AA46" s="87">
        <v>-6000</v>
      </c>
      <c r="AB46" s="87">
        <v>-6000</v>
      </c>
      <c r="AC46" s="87">
        <v>-6000</v>
      </c>
      <c r="AD46" s="87">
        <v>-6000</v>
      </c>
      <c r="AE46" s="87">
        <v>-6000</v>
      </c>
      <c r="AF46" s="87">
        <v>-6000</v>
      </c>
      <c r="AG46" s="87">
        <v>-6000</v>
      </c>
      <c r="AH46" s="87">
        <v>-6000</v>
      </c>
      <c r="AI46" s="87">
        <v>-6000</v>
      </c>
      <c r="AJ46" s="87">
        <v>-6000</v>
      </c>
    </row>
    <row r="47" spans="1:36" s="1" customFormat="1" x14ac:dyDescent="0.2">
      <c r="A47" s="72" t="s">
        <v>36</v>
      </c>
      <c r="B47" s="87"/>
      <c r="C47" s="87">
        <v>1000</v>
      </c>
      <c r="D47" s="87">
        <v>1000</v>
      </c>
      <c r="E47" s="87"/>
      <c r="F47" s="87"/>
      <c r="G47" s="87">
        <v>1000</v>
      </c>
      <c r="H47" s="87">
        <v>1000</v>
      </c>
      <c r="I47" s="87"/>
      <c r="J47" s="87"/>
      <c r="K47" s="87">
        <v>1000</v>
      </c>
      <c r="L47" s="87"/>
      <c r="M47" s="87">
        <v>1000</v>
      </c>
      <c r="N47" s="87">
        <v>1000</v>
      </c>
      <c r="O47" s="87"/>
      <c r="P47" s="87"/>
      <c r="Q47" s="87">
        <v>1000</v>
      </c>
      <c r="R47" s="87">
        <v>1000</v>
      </c>
      <c r="S47" s="87"/>
      <c r="T47" s="87"/>
      <c r="U47" s="87">
        <v>1000</v>
      </c>
      <c r="V47" s="87">
        <v>1000</v>
      </c>
      <c r="W47" s="87"/>
      <c r="X47" s="87"/>
      <c r="Y47" s="87">
        <v>1000</v>
      </c>
      <c r="Z47" s="87">
        <v>1000</v>
      </c>
      <c r="AA47" s="87"/>
      <c r="AB47" s="87"/>
      <c r="AC47" s="87">
        <v>1000</v>
      </c>
      <c r="AD47" s="87">
        <v>1000</v>
      </c>
      <c r="AE47" s="87"/>
      <c r="AF47" s="87"/>
      <c r="AG47" s="87">
        <v>1000</v>
      </c>
      <c r="AH47" s="87">
        <v>1000</v>
      </c>
      <c r="AI47" s="87"/>
      <c r="AJ47" s="87"/>
    </row>
    <row r="48" spans="1:36" s="1" customFormat="1" x14ac:dyDescent="0.2">
      <c r="A48" s="72" t="s">
        <v>37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>
        <v>1000</v>
      </c>
      <c r="AB48" s="87">
        <v>1000</v>
      </c>
      <c r="AC48" s="87"/>
      <c r="AD48" s="87"/>
      <c r="AE48" s="87">
        <v>1000</v>
      </c>
      <c r="AF48" s="87">
        <v>1000</v>
      </c>
      <c r="AG48" s="87"/>
      <c r="AH48" s="87"/>
      <c r="AI48" s="87"/>
      <c r="AJ48" s="87">
        <v>1000</v>
      </c>
    </row>
    <row r="49" spans="1:36" s="1" customFormat="1" x14ac:dyDescent="0.2">
      <c r="A49" s="72" t="s">
        <v>6</v>
      </c>
      <c r="B49" s="87"/>
      <c r="C49" s="87">
        <v>13000</v>
      </c>
      <c r="D49" s="87">
        <v>25000</v>
      </c>
      <c r="E49" s="87">
        <v>13000</v>
      </c>
      <c r="F49" s="87"/>
      <c r="G49" s="87">
        <v>13000</v>
      </c>
      <c r="H49" s="87">
        <v>25000</v>
      </c>
      <c r="I49" s="87">
        <v>13000</v>
      </c>
      <c r="J49" s="87"/>
      <c r="K49" s="87">
        <v>13000</v>
      </c>
      <c r="L49" s="87"/>
      <c r="M49" s="87">
        <v>13000</v>
      </c>
      <c r="N49" s="87">
        <v>25000</v>
      </c>
      <c r="O49" s="87">
        <v>13000</v>
      </c>
      <c r="P49" s="87"/>
      <c r="Q49" s="87">
        <v>13000</v>
      </c>
      <c r="R49" s="87">
        <v>25000</v>
      </c>
      <c r="S49" s="87">
        <v>13000</v>
      </c>
      <c r="T49" s="87"/>
      <c r="U49" s="87">
        <v>13000</v>
      </c>
      <c r="V49" s="87">
        <v>25000</v>
      </c>
      <c r="W49" s="87">
        <v>13000</v>
      </c>
      <c r="X49" s="87"/>
      <c r="Y49" s="87">
        <v>8000</v>
      </c>
      <c r="Z49" s="87">
        <v>13000</v>
      </c>
      <c r="AA49" s="87"/>
      <c r="AB49" s="87"/>
      <c r="AC49" s="87">
        <v>8000</v>
      </c>
      <c r="AD49" s="87">
        <v>13000</v>
      </c>
      <c r="AE49" s="87"/>
      <c r="AF49" s="87"/>
      <c r="AG49" s="87">
        <v>8000</v>
      </c>
      <c r="AH49" s="87">
        <v>13000</v>
      </c>
      <c r="AI49" s="87">
        <v>8000</v>
      </c>
      <c r="AJ49" s="87"/>
    </row>
    <row r="50" spans="1:36" s="1" customFormat="1" x14ac:dyDescent="0.2">
      <c r="A50" s="72" t="s">
        <v>11</v>
      </c>
      <c r="B50" s="87"/>
      <c r="C50" s="87">
        <v>8000</v>
      </c>
      <c r="D50" s="87">
        <v>8000</v>
      </c>
      <c r="E50" s="87">
        <v>13300</v>
      </c>
      <c r="F50" s="87">
        <v>10200</v>
      </c>
      <c r="G50" s="87">
        <v>8000</v>
      </c>
      <c r="H50" s="87">
        <v>8000</v>
      </c>
      <c r="I50" s="87">
        <v>13300</v>
      </c>
      <c r="J50" s="87">
        <v>11500</v>
      </c>
      <c r="K50" s="87">
        <v>13300</v>
      </c>
      <c r="L50" s="87"/>
      <c r="M50" s="87">
        <v>6300</v>
      </c>
      <c r="N50" s="87">
        <v>6300</v>
      </c>
      <c r="O50" s="87">
        <v>11000</v>
      </c>
      <c r="P50" s="87">
        <v>12100</v>
      </c>
      <c r="Q50" s="87">
        <v>6300</v>
      </c>
      <c r="R50" s="87">
        <v>6300</v>
      </c>
      <c r="S50" s="87">
        <v>11000</v>
      </c>
      <c r="T50" s="87">
        <v>12500</v>
      </c>
      <c r="U50" s="87">
        <v>13300</v>
      </c>
      <c r="V50" s="87">
        <v>8000</v>
      </c>
      <c r="W50" s="87">
        <v>13300</v>
      </c>
      <c r="X50" s="87"/>
      <c r="Y50" s="87">
        <v>6300</v>
      </c>
      <c r="Z50" s="87">
        <v>6300</v>
      </c>
      <c r="AA50" s="87">
        <v>6300</v>
      </c>
      <c r="AB50" s="87">
        <v>11000</v>
      </c>
      <c r="AC50" s="87">
        <v>6300</v>
      </c>
      <c r="AD50" s="87">
        <v>6300</v>
      </c>
      <c r="AE50" s="87">
        <v>6300</v>
      </c>
      <c r="AF50" s="87">
        <v>11000</v>
      </c>
      <c r="AG50" s="87">
        <v>14300</v>
      </c>
      <c r="AH50" s="87">
        <v>13300</v>
      </c>
      <c r="AI50" s="87">
        <v>14300</v>
      </c>
      <c r="AJ50" s="87">
        <v>14800</v>
      </c>
    </row>
    <row r="51" spans="1:36" s="1" customFormat="1" x14ac:dyDescent="0.2">
      <c r="A51" s="72" t="s">
        <v>247</v>
      </c>
      <c r="B51" s="87"/>
      <c r="C51" s="87"/>
      <c r="D51" s="87"/>
      <c r="E51" s="87"/>
      <c r="F51" s="87">
        <v>38880</v>
      </c>
      <c r="G51" s="87"/>
      <c r="H51" s="87"/>
      <c r="I51" s="87"/>
      <c r="J51" s="87">
        <v>32400</v>
      </c>
      <c r="K51" s="87"/>
      <c r="L51" s="87"/>
      <c r="M51" s="87"/>
      <c r="N51" s="87"/>
      <c r="O51" s="87"/>
      <c r="P51" s="87">
        <v>26500</v>
      </c>
      <c r="Q51" s="87"/>
      <c r="R51" s="87"/>
      <c r="S51" s="87"/>
      <c r="T51" s="87">
        <v>24980</v>
      </c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1:36" s="1" customFormat="1" x14ac:dyDescent="0.2">
      <c r="A52" s="72" t="s">
        <v>8</v>
      </c>
      <c r="B52" s="87"/>
      <c r="C52" s="87">
        <v>1000</v>
      </c>
      <c r="D52" s="87">
        <v>1000</v>
      </c>
      <c r="E52" s="87"/>
      <c r="F52" s="87"/>
      <c r="G52" s="87">
        <v>1000</v>
      </c>
      <c r="H52" s="87">
        <v>1000</v>
      </c>
      <c r="I52" s="87"/>
      <c r="J52" s="87"/>
      <c r="K52" s="87">
        <v>1000</v>
      </c>
      <c r="L52" s="87"/>
      <c r="M52" s="87">
        <v>1000</v>
      </c>
      <c r="N52" s="87">
        <v>1000</v>
      </c>
      <c r="O52" s="87"/>
      <c r="P52" s="87"/>
      <c r="Q52" s="87">
        <v>1000</v>
      </c>
      <c r="R52" s="87">
        <v>1000</v>
      </c>
      <c r="S52" s="87"/>
      <c r="T52" s="87"/>
      <c r="U52" s="87">
        <v>1000</v>
      </c>
      <c r="V52" s="87">
        <v>1000</v>
      </c>
      <c r="W52" s="87"/>
      <c r="X52" s="87"/>
      <c r="Y52" s="87">
        <v>1000</v>
      </c>
      <c r="Z52" s="87">
        <v>1000</v>
      </c>
      <c r="AA52" s="87"/>
      <c r="AB52" s="87"/>
      <c r="AC52" s="87">
        <v>1000</v>
      </c>
      <c r="AD52" s="87">
        <v>1000</v>
      </c>
      <c r="AE52" s="87"/>
      <c r="AF52" s="87"/>
      <c r="AG52" s="87">
        <v>1000</v>
      </c>
      <c r="AH52" s="87">
        <v>1000</v>
      </c>
      <c r="AI52" s="87"/>
      <c r="AJ52" s="87"/>
    </row>
    <row r="53" spans="1:36" s="1" customFormat="1" x14ac:dyDescent="0.2">
      <c r="A53" s="72" t="s">
        <v>9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1:36" x14ac:dyDescent="0.2">
      <c r="A54" s="72" t="s">
        <v>10</v>
      </c>
      <c r="B54" s="87"/>
      <c r="C54" s="87">
        <v>6000</v>
      </c>
      <c r="D54" s="87">
        <v>6000</v>
      </c>
      <c r="E54" s="87">
        <v>6000</v>
      </c>
      <c r="F54" s="87">
        <v>6000</v>
      </c>
      <c r="G54" s="87">
        <v>6000</v>
      </c>
      <c r="H54" s="87">
        <v>6000</v>
      </c>
      <c r="I54" s="87">
        <v>6000</v>
      </c>
      <c r="J54" s="87">
        <v>6000</v>
      </c>
      <c r="K54" s="87">
        <v>6000</v>
      </c>
      <c r="L54" s="87"/>
      <c r="M54" s="87">
        <v>6000</v>
      </c>
      <c r="N54" s="87">
        <v>6000</v>
      </c>
      <c r="O54" s="87">
        <v>6000</v>
      </c>
      <c r="P54" s="87">
        <v>6000</v>
      </c>
      <c r="Q54" s="87">
        <v>6000</v>
      </c>
      <c r="R54" s="87">
        <v>6000</v>
      </c>
      <c r="S54" s="87">
        <v>6000</v>
      </c>
      <c r="T54" s="87">
        <v>6000</v>
      </c>
      <c r="U54" s="87">
        <v>6000</v>
      </c>
      <c r="V54" s="87">
        <v>6000</v>
      </c>
      <c r="W54" s="87">
        <v>6000</v>
      </c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1:36" x14ac:dyDescent="0.2">
      <c r="A55" s="88" t="s">
        <v>12</v>
      </c>
      <c r="B55" s="89"/>
      <c r="C55" s="89">
        <v>5600</v>
      </c>
      <c r="D55" s="89">
        <v>5600</v>
      </c>
      <c r="E55" s="89">
        <v>8800</v>
      </c>
      <c r="F55" s="89">
        <v>8800</v>
      </c>
      <c r="G55" s="89">
        <v>5600</v>
      </c>
      <c r="H55" s="89">
        <v>5600</v>
      </c>
      <c r="I55" s="89">
        <v>8800</v>
      </c>
      <c r="J55" s="89">
        <v>8800</v>
      </c>
      <c r="K55" s="89">
        <v>8800</v>
      </c>
      <c r="L55" s="89"/>
      <c r="M55" s="89">
        <v>4500</v>
      </c>
      <c r="N55" s="89">
        <v>4500</v>
      </c>
      <c r="O55" s="89">
        <v>7200</v>
      </c>
      <c r="P55" s="89">
        <v>7200</v>
      </c>
      <c r="Q55" s="89">
        <v>4500</v>
      </c>
      <c r="R55" s="89">
        <v>4500</v>
      </c>
      <c r="S55" s="89">
        <v>7200</v>
      </c>
      <c r="T55" s="89">
        <v>7200</v>
      </c>
      <c r="U55" s="89">
        <v>7200</v>
      </c>
      <c r="V55" s="89">
        <v>4500</v>
      </c>
      <c r="W55" s="89">
        <v>7200</v>
      </c>
      <c r="X55" s="89"/>
      <c r="Y55" s="89">
        <v>4500</v>
      </c>
      <c r="Z55" s="89">
        <v>4500</v>
      </c>
      <c r="AA55" s="89">
        <v>4500</v>
      </c>
      <c r="AB55" s="89">
        <v>7200</v>
      </c>
      <c r="AC55" s="89">
        <v>4500</v>
      </c>
      <c r="AD55" s="89">
        <v>4500</v>
      </c>
      <c r="AE55" s="89">
        <v>4500</v>
      </c>
      <c r="AF55" s="89">
        <v>7200</v>
      </c>
      <c r="AG55" s="89">
        <v>7200</v>
      </c>
      <c r="AH55" s="89">
        <v>7200</v>
      </c>
      <c r="AI55" s="89">
        <v>7200</v>
      </c>
      <c r="AJ55" s="89">
        <v>7200</v>
      </c>
    </row>
    <row r="56" spans="1:36" x14ac:dyDescent="0.2">
      <c r="A56" s="185" t="s">
        <v>290</v>
      </c>
      <c r="B56" s="186"/>
      <c r="C56" s="186"/>
      <c r="D56" s="186"/>
      <c r="E56" s="186"/>
      <c r="F56" s="186"/>
      <c r="G56" s="186">
        <v>3260</v>
      </c>
      <c r="H56" s="186">
        <v>3260</v>
      </c>
      <c r="I56" s="186">
        <v>3260</v>
      </c>
      <c r="J56" s="186">
        <v>3260</v>
      </c>
      <c r="K56" s="186">
        <v>3260</v>
      </c>
      <c r="L56" s="186"/>
      <c r="M56" s="186"/>
      <c r="N56" s="186"/>
      <c r="O56" s="186"/>
      <c r="P56" s="186"/>
      <c r="Q56" s="186">
        <v>1310</v>
      </c>
      <c r="R56" s="186">
        <v>1310</v>
      </c>
      <c r="S56" s="186">
        <v>1310</v>
      </c>
      <c r="T56" s="186">
        <v>1310</v>
      </c>
      <c r="U56" s="186">
        <v>1310</v>
      </c>
      <c r="V56" s="186">
        <v>1310</v>
      </c>
      <c r="W56" s="186">
        <v>1310</v>
      </c>
      <c r="X56" s="186"/>
      <c r="Y56" s="186"/>
      <c r="Z56" s="186"/>
      <c r="AA56" s="186"/>
      <c r="AB56" s="186"/>
      <c r="AC56" s="186">
        <v>360</v>
      </c>
      <c r="AD56" s="186">
        <v>360</v>
      </c>
      <c r="AE56" s="186">
        <v>360</v>
      </c>
      <c r="AF56" s="186">
        <v>360</v>
      </c>
      <c r="AG56" s="186">
        <v>360</v>
      </c>
      <c r="AH56" s="186">
        <v>360</v>
      </c>
      <c r="AI56" s="186">
        <v>360</v>
      </c>
      <c r="AJ56" s="186">
        <v>360</v>
      </c>
    </row>
    <row r="57" spans="1:36" x14ac:dyDescent="0.2">
      <c r="A57" s="28" t="s">
        <v>1</v>
      </c>
      <c r="B57" s="29">
        <f>SUM(B44:B55)</f>
        <v>0</v>
      </c>
      <c r="C57" s="29">
        <f>SUM(C44:C56)</f>
        <v>39270</v>
      </c>
      <c r="D57" s="29">
        <f t="shared" ref="D57:X57" si="29">SUM(D44:D56)</f>
        <v>51270</v>
      </c>
      <c r="E57" s="29">
        <f t="shared" si="29"/>
        <v>66110</v>
      </c>
      <c r="F57" s="29">
        <f t="shared" si="29"/>
        <v>84550</v>
      </c>
      <c r="G57" s="29">
        <f>SUM(G44:G56)</f>
        <v>42530</v>
      </c>
      <c r="H57" s="29">
        <f t="shared" ref="H57" si="30">SUM(H44:H56)</f>
        <v>54530</v>
      </c>
      <c r="I57" s="29">
        <f t="shared" ref="I57" si="31">SUM(I44:I56)</f>
        <v>59650</v>
      </c>
      <c r="J57" s="29">
        <f t="shared" ref="J57" si="32">SUM(J44:J56)</f>
        <v>78630</v>
      </c>
      <c r="K57" s="29">
        <f>SUM(K44:K56)</f>
        <v>51030</v>
      </c>
      <c r="L57" s="29">
        <f t="shared" si="29"/>
        <v>0</v>
      </c>
      <c r="M57" s="29">
        <f>SUM(M44:M56)</f>
        <v>37800</v>
      </c>
      <c r="N57" s="29">
        <f t="shared" ref="N57" si="33">SUM(N44:N56)</f>
        <v>49800</v>
      </c>
      <c r="O57" s="29">
        <f t="shared" ref="O57" si="34">SUM(O44:O56)</f>
        <v>51640</v>
      </c>
      <c r="P57" s="29">
        <f t="shared" ref="P57" si="35">SUM(P44:P56)</f>
        <v>64800</v>
      </c>
      <c r="Q57" s="29">
        <f>SUM(Q44:Q56)</f>
        <v>39110</v>
      </c>
      <c r="R57" s="29">
        <f t="shared" ref="R57" si="36">SUM(R44:R56)</f>
        <v>51110</v>
      </c>
      <c r="S57" s="29">
        <f t="shared" ref="S57" si="37">SUM(S44:S56)</f>
        <v>51950</v>
      </c>
      <c r="T57" s="29">
        <f t="shared" ref="T57" si="38">SUM(T44:T56)</f>
        <v>63990</v>
      </c>
      <c r="U57" s="29">
        <f>SUM(U44:U56)</f>
        <v>48810</v>
      </c>
      <c r="V57" s="29">
        <f>SUM(V44:V56)</f>
        <v>52810</v>
      </c>
      <c r="W57" s="29">
        <f t="shared" ref="W57" si="39">SUM(W44:W56)</f>
        <v>54250</v>
      </c>
      <c r="X57" s="29">
        <f t="shared" si="29"/>
        <v>0</v>
      </c>
      <c r="Y57" s="29">
        <f>SUM(Y44:Y56)</f>
        <v>18800</v>
      </c>
      <c r="Z57" s="29">
        <f t="shared" ref="Z57" si="40">SUM(Z44:Z56)</f>
        <v>23800</v>
      </c>
      <c r="AA57" s="29">
        <f t="shared" ref="AA57" si="41">SUM(AA44:AA56)</f>
        <v>15800</v>
      </c>
      <c r="AB57" s="29">
        <f t="shared" ref="AB57" si="42">SUM(AB44:AB56)</f>
        <v>23200</v>
      </c>
      <c r="AC57" s="29">
        <f>SUM(AC44:AC56)</f>
        <v>19160</v>
      </c>
      <c r="AD57" s="29">
        <f t="shared" ref="AD57:AE57" si="43">SUM(AD44:AD56)</f>
        <v>24160</v>
      </c>
      <c r="AE57" s="29">
        <f t="shared" si="43"/>
        <v>15160</v>
      </c>
      <c r="AF57" s="29">
        <f t="shared" ref="AF57" si="44">SUM(AF44:AF56)</f>
        <v>22560</v>
      </c>
      <c r="AG57" s="29">
        <f>SUM(AG44:AG56)</f>
        <v>29860</v>
      </c>
      <c r="AH57" s="29">
        <f>SUM(AH44:AH56)</f>
        <v>33860</v>
      </c>
      <c r="AI57" s="29">
        <f t="shared" ref="AI57:AJ57" si="45">SUM(AI44:AI56)</f>
        <v>29860</v>
      </c>
      <c r="AJ57" s="29">
        <f t="shared" si="45"/>
        <v>26360</v>
      </c>
    </row>
    <row r="58" spans="1:36" x14ac:dyDescent="0.2">
      <c r="A58" s="23" t="s">
        <v>61</v>
      </c>
      <c r="B58" s="92"/>
      <c r="C58" s="92">
        <v>30000</v>
      </c>
      <c r="D58" s="92">
        <v>30000</v>
      </c>
      <c r="E58" s="92">
        <v>30000</v>
      </c>
      <c r="F58" s="92">
        <v>30000</v>
      </c>
      <c r="G58" s="92">
        <v>30000</v>
      </c>
      <c r="H58" s="92">
        <v>30000</v>
      </c>
      <c r="I58" s="92">
        <v>30000</v>
      </c>
      <c r="J58" s="92">
        <v>30000</v>
      </c>
      <c r="K58" s="92">
        <v>30000</v>
      </c>
      <c r="L58" s="92"/>
      <c r="M58" s="92">
        <v>30000</v>
      </c>
      <c r="N58" s="92">
        <v>30000</v>
      </c>
      <c r="O58" s="92">
        <v>30000</v>
      </c>
      <c r="P58" s="92">
        <v>30000</v>
      </c>
      <c r="Q58" s="92">
        <v>30000</v>
      </c>
      <c r="R58" s="92">
        <v>30000</v>
      </c>
      <c r="S58" s="92">
        <v>30000</v>
      </c>
      <c r="T58" s="92">
        <v>30000</v>
      </c>
      <c r="U58" s="92">
        <v>30000</v>
      </c>
      <c r="V58" s="92">
        <v>30000</v>
      </c>
      <c r="W58" s="92">
        <v>30000</v>
      </c>
      <c r="X58" s="92"/>
      <c r="Y58" s="92">
        <v>0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</row>
    <row r="59" spans="1:36" x14ac:dyDescent="0.2">
      <c r="A59" s="23" t="s">
        <v>62</v>
      </c>
      <c r="B59" s="92"/>
      <c r="C59" s="92">
        <v>21000</v>
      </c>
      <c r="D59" s="92">
        <v>21000</v>
      </c>
      <c r="E59" s="92">
        <v>21000</v>
      </c>
      <c r="F59" s="92">
        <v>21000</v>
      </c>
      <c r="G59" s="92">
        <v>21000</v>
      </c>
      <c r="H59" s="92">
        <v>21000</v>
      </c>
      <c r="I59" s="92">
        <v>21000</v>
      </c>
      <c r="J59" s="92">
        <v>21000</v>
      </c>
      <c r="K59" s="92">
        <v>21000</v>
      </c>
      <c r="L59" s="92"/>
      <c r="M59" s="92">
        <v>21000</v>
      </c>
      <c r="N59" s="92">
        <v>21000</v>
      </c>
      <c r="O59" s="92">
        <v>21000</v>
      </c>
      <c r="P59" s="92">
        <v>21000</v>
      </c>
      <c r="Q59" s="92">
        <v>21000</v>
      </c>
      <c r="R59" s="92">
        <v>21000</v>
      </c>
      <c r="S59" s="92">
        <v>21000</v>
      </c>
      <c r="T59" s="92">
        <v>21000</v>
      </c>
      <c r="U59" s="92">
        <v>21000</v>
      </c>
      <c r="V59" s="92">
        <v>21000</v>
      </c>
      <c r="W59" s="92">
        <v>21000</v>
      </c>
      <c r="X59" s="92"/>
      <c r="Y59" s="92">
        <v>0</v>
      </c>
      <c r="Z59" s="92">
        <v>0</v>
      </c>
      <c r="AA59" s="92">
        <v>0</v>
      </c>
      <c r="AB59" s="92">
        <v>0</v>
      </c>
      <c r="AC59" s="92">
        <v>0</v>
      </c>
      <c r="AD59" s="92">
        <v>0</v>
      </c>
      <c r="AE59" s="92">
        <v>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</row>
    <row r="60" spans="1:36" x14ac:dyDescent="0.2">
      <c r="A60" s="23" t="s">
        <v>63</v>
      </c>
      <c r="B60" s="92"/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/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/>
      <c r="Y60" s="92">
        <v>0</v>
      </c>
      <c r="Z60" s="92">
        <v>0</v>
      </c>
      <c r="AA60" s="92">
        <v>0</v>
      </c>
      <c r="AB60" s="92">
        <v>0</v>
      </c>
      <c r="AC60" s="92">
        <v>0</v>
      </c>
      <c r="AD60" s="92">
        <v>0</v>
      </c>
      <c r="AE60" s="92">
        <v>0</v>
      </c>
      <c r="AF60" s="92">
        <v>0</v>
      </c>
      <c r="AG60" s="92">
        <v>0</v>
      </c>
      <c r="AH60" s="92">
        <v>0</v>
      </c>
      <c r="AI60" s="92">
        <v>0</v>
      </c>
      <c r="AJ60" s="92">
        <v>0</v>
      </c>
    </row>
    <row r="61" spans="1:36" x14ac:dyDescent="0.2">
      <c r="A61" s="32" t="s">
        <v>5</v>
      </c>
      <c r="B61" s="30"/>
      <c r="C61" s="30">
        <f t="shared" ref="C61:D61" si="46">C59</f>
        <v>21000</v>
      </c>
      <c r="D61" s="30">
        <f t="shared" si="46"/>
        <v>21000</v>
      </c>
      <c r="E61" s="30">
        <f t="shared" ref="E61" si="47">E59</f>
        <v>21000</v>
      </c>
      <c r="F61" s="30">
        <f t="shared" ref="F61:I61" si="48">F59</f>
        <v>21000</v>
      </c>
      <c r="G61" s="30">
        <f t="shared" si="48"/>
        <v>21000</v>
      </c>
      <c r="H61" s="30">
        <f t="shared" si="48"/>
        <v>21000</v>
      </c>
      <c r="I61" s="30">
        <f t="shared" si="48"/>
        <v>21000</v>
      </c>
      <c r="J61" s="30">
        <f t="shared" ref="J61:K61" si="49">J59</f>
        <v>21000</v>
      </c>
      <c r="K61" s="30">
        <f t="shared" si="49"/>
        <v>21000</v>
      </c>
      <c r="L61" s="30"/>
      <c r="M61" s="30">
        <f t="shared" ref="M61:U61" si="50">M59</f>
        <v>21000</v>
      </c>
      <c r="N61" s="30">
        <f t="shared" si="50"/>
        <v>21000</v>
      </c>
      <c r="O61" s="30">
        <f t="shared" si="50"/>
        <v>21000</v>
      </c>
      <c r="P61" s="30">
        <f t="shared" si="50"/>
        <v>21000</v>
      </c>
      <c r="Q61" s="30">
        <f t="shared" si="50"/>
        <v>21000</v>
      </c>
      <c r="R61" s="30">
        <f t="shared" si="50"/>
        <v>21000</v>
      </c>
      <c r="S61" s="30">
        <f t="shared" si="50"/>
        <v>21000</v>
      </c>
      <c r="T61" s="30">
        <f t="shared" si="50"/>
        <v>21000</v>
      </c>
      <c r="U61" s="30">
        <f t="shared" si="50"/>
        <v>21000</v>
      </c>
      <c r="V61" s="30">
        <f t="shared" ref="V61:W61" si="51">V59</f>
        <v>21000</v>
      </c>
      <c r="W61" s="30">
        <f t="shared" si="51"/>
        <v>21000</v>
      </c>
      <c r="X61" s="30"/>
      <c r="Y61" s="30">
        <f t="shared" ref="Y61:AG61" si="52">Y59</f>
        <v>0</v>
      </c>
      <c r="Z61" s="30">
        <f t="shared" si="52"/>
        <v>0</v>
      </c>
      <c r="AA61" s="30">
        <f t="shared" si="52"/>
        <v>0</v>
      </c>
      <c r="AB61" s="30">
        <f t="shared" si="52"/>
        <v>0</v>
      </c>
      <c r="AC61" s="30">
        <f t="shared" si="52"/>
        <v>0</v>
      </c>
      <c r="AD61" s="30">
        <f t="shared" si="52"/>
        <v>0</v>
      </c>
      <c r="AE61" s="30">
        <f t="shared" si="52"/>
        <v>0</v>
      </c>
      <c r="AF61" s="30">
        <f t="shared" si="52"/>
        <v>0</v>
      </c>
      <c r="AG61" s="30">
        <f t="shared" si="52"/>
        <v>0</v>
      </c>
      <c r="AH61" s="30">
        <f t="shared" ref="AH61:AJ61" si="53">AH59</f>
        <v>0</v>
      </c>
      <c r="AI61" s="30">
        <f t="shared" si="53"/>
        <v>0</v>
      </c>
      <c r="AJ61" s="30">
        <f t="shared" si="53"/>
        <v>0</v>
      </c>
    </row>
    <row r="62" spans="1:36" x14ac:dyDescent="0.2">
      <c r="A62" s="21" t="s">
        <v>13</v>
      </c>
      <c r="B62" s="22">
        <f t="shared" ref="B62" si="54">B57-B61</f>
        <v>0</v>
      </c>
      <c r="C62" s="22">
        <f t="shared" ref="C62:D62" si="55">C57-C61</f>
        <v>18270</v>
      </c>
      <c r="D62" s="22">
        <f t="shared" si="55"/>
        <v>30270</v>
      </c>
      <c r="E62" s="22">
        <f t="shared" ref="E62" si="56">E57-E61</f>
        <v>45110</v>
      </c>
      <c r="F62" s="22">
        <f t="shared" ref="F62:I62" si="57">F57-F61</f>
        <v>63550</v>
      </c>
      <c r="G62" s="22">
        <f t="shared" si="57"/>
        <v>21530</v>
      </c>
      <c r="H62" s="22">
        <f t="shared" si="57"/>
        <v>33530</v>
      </c>
      <c r="I62" s="22">
        <f t="shared" si="57"/>
        <v>38650</v>
      </c>
      <c r="J62" s="22">
        <f t="shared" ref="J62:K62" si="58">J57-J61</f>
        <v>57630</v>
      </c>
      <c r="K62" s="22">
        <f t="shared" si="58"/>
        <v>30030</v>
      </c>
      <c r="L62" s="22">
        <v>0</v>
      </c>
      <c r="M62" s="22">
        <f t="shared" ref="M62:U62" si="59">M57-M61</f>
        <v>16800</v>
      </c>
      <c r="N62" s="22">
        <f t="shared" si="59"/>
        <v>28800</v>
      </c>
      <c r="O62" s="22">
        <f t="shared" si="59"/>
        <v>30640</v>
      </c>
      <c r="P62" s="22">
        <f t="shared" si="59"/>
        <v>43800</v>
      </c>
      <c r="Q62" s="22">
        <f t="shared" si="59"/>
        <v>18110</v>
      </c>
      <c r="R62" s="22">
        <f t="shared" si="59"/>
        <v>30110</v>
      </c>
      <c r="S62" s="22">
        <f t="shared" si="59"/>
        <v>30950</v>
      </c>
      <c r="T62" s="22">
        <f t="shared" si="59"/>
        <v>42990</v>
      </c>
      <c r="U62" s="22">
        <f t="shared" si="59"/>
        <v>27810</v>
      </c>
      <c r="V62" s="22">
        <f t="shared" ref="V62:W62" si="60">V57-V61</f>
        <v>31810</v>
      </c>
      <c r="W62" s="22">
        <f t="shared" si="60"/>
        <v>33250</v>
      </c>
      <c r="X62" s="22">
        <f t="shared" ref="X62:AG62" si="61">X57-X61</f>
        <v>0</v>
      </c>
      <c r="Y62" s="22">
        <f t="shared" si="61"/>
        <v>18800</v>
      </c>
      <c r="Z62" s="22">
        <f t="shared" si="61"/>
        <v>23800</v>
      </c>
      <c r="AA62" s="22">
        <f t="shared" si="61"/>
        <v>15800</v>
      </c>
      <c r="AB62" s="22">
        <f t="shared" si="61"/>
        <v>23200</v>
      </c>
      <c r="AC62" s="22">
        <f t="shared" si="61"/>
        <v>19160</v>
      </c>
      <c r="AD62" s="22">
        <f t="shared" si="61"/>
        <v>24160</v>
      </c>
      <c r="AE62" s="22">
        <f t="shared" si="61"/>
        <v>15160</v>
      </c>
      <c r="AF62" s="22">
        <f t="shared" si="61"/>
        <v>22560</v>
      </c>
      <c r="AG62" s="22">
        <f t="shared" si="61"/>
        <v>29860</v>
      </c>
      <c r="AH62" s="22">
        <f t="shared" ref="AH62:AJ62" si="62">AH57-AH61</f>
        <v>33860</v>
      </c>
      <c r="AI62" s="22">
        <f t="shared" si="62"/>
        <v>29860</v>
      </c>
      <c r="AJ62" s="22">
        <f t="shared" si="62"/>
        <v>26360</v>
      </c>
    </row>
    <row r="63" spans="1:36" x14ac:dyDescent="0.2">
      <c r="A63" s="28" t="s">
        <v>45</v>
      </c>
      <c r="B63" s="29">
        <v>0</v>
      </c>
      <c r="C63" s="29">
        <f t="shared" ref="C63:D63" si="63">C62</f>
        <v>18270</v>
      </c>
      <c r="D63" s="29">
        <f t="shared" si="63"/>
        <v>30270</v>
      </c>
      <c r="E63" s="29">
        <f t="shared" ref="E63" si="64">E62</f>
        <v>45110</v>
      </c>
      <c r="F63" s="29">
        <f t="shared" ref="F63:I63" si="65">F62</f>
        <v>63550</v>
      </c>
      <c r="G63" s="29">
        <f t="shared" si="65"/>
        <v>21530</v>
      </c>
      <c r="H63" s="29">
        <f t="shared" si="65"/>
        <v>33530</v>
      </c>
      <c r="I63" s="29">
        <f t="shared" si="65"/>
        <v>38650</v>
      </c>
      <c r="J63" s="29">
        <f t="shared" ref="J63:K63" si="66">J62</f>
        <v>57630</v>
      </c>
      <c r="K63" s="29">
        <f t="shared" si="66"/>
        <v>30030</v>
      </c>
      <c r="L63" s="29">
        <f>L62-$B$62</f>
        <v>0</v>
      </c>
      <c r="M63" s="29">
        <f t="shared" ref="M63:U63" si="67">M62</f>
        <v>16800</v>
      </c>
      <c r="N63" s="29">
        <f t="shared" si="67"/>
        <v>28800</v>
      </c>
      <c r="O63" s="29">
        <f t="shared" si="67"/>
        <v>30640</v>
      </c>
      <c r="P63" s="29">
        <f t="shared" si="67"/>
        <v>43800</v>
      </c>
      <c r="Q63" s="29">
        <f t="shared" si="67"/>
        <v>18110</v>
      </c>
      <c r="R63" s="29">
        <f t="shared" si="67"/>
        <v>30110</v>
      </c>
      <c r="S63" s="29">
        <f t="shared" si="67"/>
        <v>30950</v>
      </c>
      <c r="T63" s="29">
        <f t="shared" si="67"/>
        <v>42990</v>
      </c>
      <c r="U63" s="29">
        <f t="shared" si="67"/>
        <v>27810</v>
      </c>
      <c r="V63" s="29">
        <f t="shared" ref="V63:W63" si="68">V62</f>
        <v>31810</v>
      </c>
      <c r="W63" s="29">
        <f t="shared" si="68"/>
        <v>33250</v>
      </c>
      <c r="X63" s="29">
        <f>X62-$B$57</f>
        <v>0</v>
      </c>
      <c r="Y63" s="29">
        <f t="shared" ref="Y63:AG63" si="69">Y62</f>
        <v>18800</v>
      </c>
      <c r="Z63" s="29">
        <f t="shared" si="69"/>
        <v>23800</v>
      </c>
      <c r="AA63" s="29">
        <f t="shared" si="69"/>
        <v>15800</v>
      </c>
      <c r="AB63" s="29">
        <f t="shared" si="69"/>
        <v>23200</v>
      </c>
      <c r="AC63" s="29">
        <f t="shared" si="69"/>
        <v>19160</v>
      </c>
      <c r="AD63" s="29">
        <f t="shared" si="69"/>
        <v>24160</v>
      </c>
      <c r="AE63" s="29">
        <f t="shared" si="69"/>
        <v>15160</v>
      </c>
      <c r="AF63" s="29">
        <f t="shared" si="69"/>
        <v>22560</v>
      </c>
      <c r="AG63" s="29">
        <f t="shared" si="69"/>
        <v>29860</v>
      </c>
      <c r="AH63" s="29">
        <f t="shared" ref="AH63:AJ63" si="70">AH62</f>
        <v>33860</v>
      </c>
      <c r="AI63" s="29">
        <f t="shared" si="70"/>
        <v>29860</v>
      </c>
      <c r="AJ63" s="29">
        <f t="shared" si="70"/>
        <v>26360</v>
      </c>
    </row>
    <row r="64" spans="1:36" x14ac:dyDescent="0.2">
      <c r="A64" s="34" t="s">
        <v>66</v>
      </c>
      <c r="B64" s="35">
        <v>17520</v>
      </c>
      <c r="C64" s="35">
        <f t="shared" ref="C64:F65" si="71">B64</f>
        <v>17520</v>
      </c>
      <c r="D64" s="35">
        <f t="shared" si="71"/>
        <v>17520</v>
      </c>
      <c r="E64" s="35">
        <f t="shared" si="71"/>
        <v>17520</v>
      </c>
      <c r="F64" s="35">
        <f t="shared" si="71"/>
        <v>17520</v>
      </c>
      <c r="G64" s="35">
        <v>14620</v>
      </c>
      <c r="H64" s="35">
        <v>14620</v>
      </c>
      <c r="I64" s="35">
        <f t="shared" ref="I64:J64" si="72">H64</f>
        <v>14620</v>
      </c>
      <c r="J64" s="35">
        <f t="shared" si="72"/>
        <v>14620</v>
      </c>
      <c r="K64" s="35">
        <v>14620</v>
      </c>
      <c r="L64" s="35">
        <v>9900</v>
      </c>
      <c r="M64" s="35">
        <f t="shared" ref="M64:P64" si="73">L64</f>
        <v>9900</v>
      </c>
      <c r="N64" s="35">
        <f t="shared" si="73"/>
        <v>9900</v>
      </c>
      <c r="O64" s="35">
        <f t="shared" si="73"/>
        <v>9900</v>
      </c>
      <c r="P64" s="35">
        <f t="shared" si="73"/>
        <v>9900</v>
      </c>
      <c r="Q64" s="35">
        <v>9900</v>
      </c>
      <c r="R64" s="35">
        <v>9900</v>
      </c>
      <c r="S64" s="35">
        <v>9900</v>
      </c>
      <c r="T64" s="35">
        <v>9900</v>
      </c>
      <c r="U64" s="35">
        <v>9900</v>
      </c>
      <c r="V64" s="35">
        <v>9900</v>
      </c>
      <c r="W64" s="35">
        <v>9900</v>
      </c>
      <c r="X64" s="35">
        <v>1800</v>
      </c>
      <c r="Y64" s="35">
        <f t="shared" ref="Y64:AB64" si="74">X64</f>
        <v>1800</v>
      </c>
      <c r="Z64" s="35">
        <f t="shared" si="74"/>
        <v>1800</v>
      </c>
      <c r="AA64" s="35">
        <f t="shared" si="74"/>
        <v>1800</v>
      </c>
      <c r="AB64" s="35">
        <f t="shared" si="74"/>
        <v>1800</v>
      </c>
      <c r="AC64" s="35">
        <v>1800</v>
      </c>
      <c r="AD64" s="35">
        <v>1800</v>
      </c>
      <c r="AE64" s="35">
        <v>1800</v>
      </c>
      <c r="AF64" s="35">
        <v>1800</v>
      </c>
      <c r="AG64" s="35">
        <v>1800</v>
      </c>
      <c r="AH64" s="35">
        <v>1800</v>
      </c>
      <c r="AI64" s="35">
        <v>1800</v>
      </c>
      <c r="AJ64" s="35">
        <v>1800</v>
      </c>
    </row>
    <row r="65" spans="1:36" x14ac:dyDescent="0.2">
      <c r="A65" s="82" t="s">
        <v>67</v>
      </c>
      <c r="B65" s="101">
        <v>1600</v>
      </c>
      <c r="C65" s="101">
        <f t="shared" si="71"/>
        <v>1600</v>
      </c>
      <c r="D65" s="101">
        <f t="shared" si="71"/>
        <v>1600</v>
      </c>
      <c r="E65" s="101">
        <f t="shared" si="71"/>
        <v>1600</v>
      </c>
      <c r="F65" s="101">
        <f t="shared" si="71"/>
        <v>1600</v>
      </c>
      <c r="G65" s="101">
        <v>1320</v>
      </c>
      <c r="H65" s="101">
        <v>1320</v>
      </c>
      <c r="I65" s="101">
        <f t="shared" ref="I65:J65" si="75">H65</f>
        <v>1320</v>
      </c>
      <c r="J65" s="101">
        <f t="shared" si="75"/>
        <v>1320</v>
      </c>
      <c r="K65" s="101">
        <v>1320</v>
      </c>
      <c r="L65" s="101">
        <v>3200</v>
      </c>
      <c r="M65" s="101">
        <f t="shared" ref="M65:P65" si="76">L65</f>
        <v>3200</v>
      </c>
      <c r="N65" s="101">
        <f t="shared" si="76"/>
        <v>3200</v>
      </c>
      <c r="O65" s="101">
        <f t="shared" si="76"/>
        <v>3200</v>
      </c>
      <c r="P65" s="101">
        <f t="shared" si="76"/>
        <v>3200</v>
      </c>
      <c r="Q65" s="101">
        <v>2400</v>
      </c>
      <c r="R65" s="101">
        <v>2400</v>
      </c>
      <c r="S65" s="101">
        <v>2400</v>
      </c>
      <c r="T65" s="101">
        <v>2400</v>
      </c>
      <c r="U65" s="101">
        <v>2400</v>
      </c>
      <c r="V65" s="101">
        <v>2400</v>
      </c>
      <c r="W65" s="101">
        <v>2400</v>
      </c>
      <c r="X65" s="101">
        <v>3200</v>
      </c>
      <c r="Y65" s="101">
        <f t="shared" ref="Y65:AB65" si="77">X65</f>
        <v>3200</v>
      </c>
      <c r="Z65" s="101">
        <f t="shared" si="77"/>
        <v>3200</v>
      </c>
      <c r="AA65" s="101">
        <f t="shared" si="77"/>
        <v>3200</v>
      </c>
      <c r="AB65" s="101">
        <f t="shared" si="77"/>
        <v>3200</v>
      </c>
      <c r="AC65" s="101">
        <v>2500</v>
      </c>
      <c r="AD65" s="101">
        <v>2500</v>
      </c>
      <c r="AE65" s="101">
        <v>2500</v>
      </c>
      <c r="AF65" s="101">
        <v>2500</v>
      </c>
      <c r="AG65" s="101">
        <v>2500</v>
      </c>
      <c r="AH65" s="101">
        <v>2500</v>
      </c>
      <c r="AI65" s="101">
        <v>2500</v>
      </c>
      <c r="AJ65" s="101">
        <v>2500</v>
      </c>
    </row>
    <row r="66" spans="1:36" x14ac:dyDescent="0.2">
      <c r="A66" s="82" t="s">
        <v>195</v>
      </c>
      <c r="B66" s="101"/>
      <c r="C66" s="101">
        <v>0</v>
      </c>
      <c r="D66" s="101">
        <v>0</v>
      </c>
      <c r="E66" s="101">
        <v>2150</v>
      </c>
      <c r="F66" s="101">
        <v>4250</v>
      </c>
      <c r="G66" s="101">
        <v>0</v>
      </c>
      <c r="H66" s="101">
        <v>0</v>
      </c>
      <c r="I66" s="101">
        <v>1470</v>
      </c>
      <c r="J66" s="101">
        <v>3540</v>
      </c>
      <c r="K66" s="101">
        <v>0</v>
      </c>
      <c r="L66" s="101"/>
      <c r="M66" s="101">
        <v>0</v>
      </c>
      <c r="N66" s="101">
        <v>0</v>
      </c>
      <c r="O66" s="101">
        <v>1330</v>
      </c>
      <c r="P66" s="101">
        <v>2910</v>
      </c>
      <c r="Q66" s="101">
        <v>0</v>
      </c>
      <c r="R66" s="101">
        <v>0</v>
      </c>
      <c r="S66" s="101">
        <v>1190</v>
      </c>
      <c r="T66" s="101">
        <v>2730</v>
      </c>
      <c r="U66" s="101">
        <v>0</v>
      </c>
      <c r="V66" s="101">
        <v>0</v>
      </c>
      <c r="W66" s="101">
        <v>1190</v>
      </c>
      <c r="X66" s="101"/>
      <c r="Y66" s="101">
        <v>0</v>
      </c>
      <c r="Z66" s="101">
        <v>0</v>
      </c>
      <c r="AA66" s="101">
        <v>1250</v>
      </c>
      <c r="AB66" s="101">
        <v>1250</v>
      </c>
      <c r="AC66" s="101">
        <v>0</v>
      </c>
      <c r="AD66" s="101">
        <v>0</v>
      </c>
      <c r="AE66" s="101">
        <v>1080</v>
      </c>
      <c r="AF66" s="101">
        <v>1080</v>
      </c>
      <c r="AG66" s="101">
        <v>0</v>
      </c>
      <c r="AH66" s="101">
        <v>0</v>
      </c>
      <c r="AI66" s="101">
        <v>550</v>
      </c>
      <c r="AJ66" s="101">
        <v>1080</v>
      </c>
    </row>
    <row r="67" spans="1:36" x14ac:dyDescent="0.2">
      <c r="A67" s="82" t="s">
        <v>210</v>
      </c>
      <c r="B67" s="101"/>
      <c r="C67" s="151">
        <v>900</v>
      </c>
      <c r="D67" s="151">
        <v>900</v>
      </c>
      <c r="E67" s="151">
        <v>900</v>
      </c>
      <c r="F67" s="151">
        <v>900</v>
      </c>
      <c r="G67" s="151">
        <v>900</v>
      </c>
      <c r="H67" s="151">
        <v>900</v>
      </c>
      <c r="I67" s="151">
        <v>900</v>
      </c>
      <c r="J67" s="151">
        <v>900</v>
      </c>
      <c r="K67" s="151">
        <v>900</v>
      </c>
      <c r="L67" s="151"/>
      <c r="M67" s="151">
        <v>900</v>
      </c>
      <c r="N67" s="151">
        <v>900</v>
      </c>
      <c r="O67" s="151">
        <v>900</v>
      </c>
      <c r="P67" s="151">
        <v>900</v>
      </c>
      <c r="Q67" s="151">
        <v>900</v>
      </c>
      <c r="R67" s="151">
        <v>900</v>
      </c>
      <c r="S67" s="151">
        <v>900</v>
      </c>
      <c r="T67" s="151">
        <v>900</v>
      </c>
      <c r="U67" s="151">
        <v>900</v>
      </c>
      <c r="V67" s="151">
        <v>900</v>
      </c>
      <c r="W67" s="151">
        <v>900</v>
      </c>
      <c r="X67" s="151"/>
      <c r="Y67" s="151">
        <v>900</v>
      </c>
      <c r="Z67" s="151">
        <v>900</v>
      </c>
      <c r="AA67" s="151">
        <v>900</v>
      </c>
      <c r="AB67" s="151">
        <v>900</v>
      </c>
      <c r="AC67" s="151">
        <v>900</v>
      </c>
      <c r="AD67" s="151">
        <v>900</v>
      </c>
      <c r="AE67" s="151">
        <v>900</v>
      </c>
      <c r="AF67" s="151">
        <v>900</v>
      </c>
      <c r="AG67" s="151">
        <v>900</v>
      </c>
      <c r="AH67" s="151">
        <v>900</v>
      </c>
      <c r="AI67" s="151">
        <v>900</v>
      </c>
      <c r="AJ67" s="151">
        <v>900</v>
      </c>
    </row>
    <row r="68" spans="1:36" x14ac:dyDescent="0.2">
      <c r="A68" s="82" t="s">
        <v>211</v>
      </c>
      <c r="B68" s="101"/>
      <c r="C68" s="101">
        <v>3600</v>
      </c>
      <c r="D68" s="101">
        <v>3600</v>
      </c>
      <c r="E68" s="101">
        <v>7200</v>
      </c>
      <c r="F68" s="101">
        <v>10760</v>
      </c>
      <c r="G68" s="101">
        <v>3600</v>
      </c>
      <c r="H68" s="101">
        <v>3600</v>
      </c>
      <c r="I68" s="101">
        <v>7200</v>
      </c>
      <c r="J68" s="101">
        <v>10520</v>
      </c>
      <c r="K68" s="101">
        <v>7200</v>
      </c>
      <c r="L68" s="101"/>
      <c r="M68" s="101">
        <v>2700</v>
      </c>
      <c r="N68" s="101">
        <v>2700</v>
      </c>
      <c r="O68" s="101">
        <v>5400</v>
      </c>
      <c r="P68" s="101">
        <v>10170</v>
      </c>
      <c r="Q68" s="101">
        <v>2700</v>
      </c>
      <c r="R68" s="101">
        <v>2700</v>
      </c>
      <c r="S68" s="101">
        <v>5400</v>
      </c>
      <c r="T68" s="101">
        <v>10150</v>
      </c>
      <c r="U68" s="101">
        <v>7200</v>
      </c>
      <c r="V68" s="101">
        <v>3600</v>
      </c>
      <c r="W68" s="101">
        <v>7200</v>
      </c>
      <c r="X68" s="101"/>
      <c r="Y68" s="101">
        <v>2700</v>
      </c>
      <c r="Z68" s="101">
        <v>2700</v>
      </c>
      <c r="AA68" s="101">
        <v>2700</v>
      </c>
      <c r="AB68" s="101">
        <v>5400</v>
      </c>
      <c r="AC68" s="101">
        <v>2700</v>
      </c>
      <c r="AD68" s="101">
        <v>2700</v>
      </c>
      <c r="AE68" s="101">
        <v>2700</v>
      </c>
      <c r="AF68" s="101">
        <v>5400</v>
      </c>
      <c r="AG68" s="101">
        <v>8100</v>
      </c>
      <c r="AH68" s="101">
        <v>7200</v>
      </c>
      <c r="AI68" s="101">
        <v>8100</v>
      </c>
      <c r="AJ68" s="101">
        <v>8910</v>
      </c>
    </row>
    <row r="69" spans="1:36" x14ac:dyDescent="0.2">
      <c r="A69" s="82" t="s">
        <v>213</v>
      </c>
      <c r="B69" s="101"/>
      <c r="C69" s="101">
        <v>0</v>
      </c>
      <c r="D69" s="101">
        <v>0</v>
      </c>
      <c r="E69" s="101">
        <v>480</v>
      </c>
      <c r="F69" s="101">
        <v>1040</v>
      </c>
      <c r="G69" s="101">
        <v>0</v>
      </c>
      <c r="H69" s="101">
        <v>0</v>
      </c>
      <c r="I69" s="101">
        <v>360</v>
      </c>
      <c r="J69" s="101">
        <v>930</v>
      </c>
      <c r="K69" s="101">
        <v>0</v>
      </c>
      <c r="L69" s="101"/>
      <c r="M69" s="101">
        <v>0</v>
      </c>
      <c r="N69" s="101">
        <v>0</v>
      </c>
      <c r="O69" s="101">
        <v>300</v>
      </c>
      <c r="P69" s="101">
        <v>740</v>
      </c>
      <c r="Q69" s="101">
        <v>0</v>
      </c>
      <c r="R69" s="101">
        <v>0</v>
      </c>
      <c r="S69" s="101">
        <v>300</v>
      </c>
      <c r="T69" s="101">
        <v>760</v>
      </c>
      <c r="U69" s="101">
        <v>0</v>
      </c>
      <c r="V69" s="101">
        <v>0</v>
      </c>
      <c r="W69" s="101">
        <v>320</v>
      </c>
      <c r="X69" s="101"/>
      <c r="Y69" s="101">
        <v>0</v>
      </c>
      <c r="Z69" s="101">
        <v>0</v>
      </c>
      <c r="AA69" s="101">
        <v>220</v>
      </c>
      <c r="AB69" s="101">
        <v>280</v>
      </c>
      <c r="AC69" s="101">
        <v>0</v>
      </c>
      <c r="AD69" s="101">
        <v>0</v>
      </c>
      <c r="AE69" s="101">
        <v>200</v>
      </c>
      <c r="AF69" s="101">
        <v>250</v>
      </c>
      <c r="AG69" s="101">
        <v>0</v>
      </c>
      <c r="AH69" s="101">
        <v>0</v>
      </c>
      <c r="AI69" s="101">
        <v>140</v>
      </c>
      <c r="AJ69" s="101">
        <v>280</v>
      </c>
    </row>
    <row r="70" spans="1:36" x14ac:dyDescent="0.2">
      <c r="A70" s="82" t="s">
        <v>212</v>
      </c>
      <c r="B70" s="101"/>
      <c r="C70" s="101">
        <v>2070</v>
      </c>
      <c r="D70" s="101">
        <v>2070</v>
      </c>
      <c r="E70" s="101">
        <v>2680</v>
      </c>
      <c r="F70" s="101">
        <v>2930</v>
      </c>
      <c r="G70" s="101">
        <v>1750</v>
      </c>
      <c r="H70" s="101">
        <v>1750</v>
      </c>
      <c r="I70" s="101">
        <v>2250</v>
      </c>
      <c r="J70" s="101">
        <v>2400</v>
      </c>
      <c r="K70" s="101">
        <v>2250</v>
      </c>
      <c r="L70" s="101"/>
      <c r="M70" s="101">
        <v>1550</v>
      </c>
      <c r="N70" s="101">
        <v>1550</v>
      </c>
      <c r="O70" s="101">
        <v>2010</v>
      </c>
      <c r="P70" s="101">
        <v>2280</v>
      </c>
      <c r="Q70" s="101">
        <v>1200</v>
      </c>
      <c r="R70" s="101">
        <v>1200</v>
      </c>
      <c r="S70" s="101">
        <v>1530</v>
      </c>
      <c r="T70" s="101">
        <v>1660</v>
      </c>
      <c r="U70" s="101">
        <v>1600</v>
      </c>
      <c r="V70" s="101">
        <v>1290</v>
      </c>
      <c r="W70" s="101">
        <v>1600</v>
      </c>
      <c r="X70" s="101"/>
      <c r="Y70" s="101">
        <v>1550</v>
      </c>
      <c r="Z70" s="101">
        <v>1550</v>
      </c>
      <c r="AA70" s="101">
        <v>1550</v>
      </c>
      <c r="AB70" s="101">
        <v>2010</v>
      </c>
      <c r="AC70" s="101">
        <v>1440</v>
      </c>
      <c r="AD70" s="101">
        <v>1440</v>
      </c>
      <c r="AE70" s="101">
        <v>1440</v>
      </c>
      <c r="AF70" s="101">
        <v>1860</v>
      </c>
      <c r="AG70" s="101">
        <v>2010</v>
      </c>
      <c r="AH70" s="101">
        <v>1970</v>
      </c>
      <c r="AI70" s="101">
        <v>2010</v>
      </c>
      <c r="AJ70" s="101">
        <v>2040</v>
      </c>
    </row>
    <row r="71" spans="1:36" x14ac:dyDescent="0.2">
      <c r="A71" s="82" t="s">
        <v>96</v>
      </c>
      <c r="B71" s="115">
        <v>2500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01"/>
      <c r="M71" s="115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5">
        <v>0</v>
      </c>
      <c r="W71" s="115">
        <v>0</v>
      </c>
      <c r="X71" s="101"/>
      <c r="Y71" s="115">
        <v>0</v>
      </c>
      <c r="Z71" s="115">
        <v>0</v>
      </c>
      <c r="AA71" s="115">
        <v>0</v>
      </c>
      <c r="AB71" s="115">
        <v>0</v>
      </c>
      <c r="AC71" s="115">
        <v>0</v>
      </c>
      <c r="AD71" s="115">
        <v>0</v>
      </c>
      <c r="AE71" s="115">
        <v>0</v>
      </c>
      <c r="AF71" s="115">
        <v>0</v>
      </c>
      <c r="AG71" s="115">
        <v>0</v>
      </c>
      <c r="AH71" s="115">
        <v>0</v>
      </c>
      <c r="AI71" s="115">
        <v>0</v>
      </c>
      <c r="AJ71" s="115">
        <v>0</v>
      </c>
    </row>
    <row r="72" spans="1:36" x14ac:dyDescent="0.2">
      <c r="A72" s="36" t="s">
        <v>79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>
        <v>15000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5500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</row>
    <row r="73" spans="1:36" x14ac:dyDescent="0.2">
      <c r="A73" s="36" t="s">
        <v>97</v>
      </c>
      <c r="B73" s="184"/>
      <c r="C73" s="184">
        <v>9.8000000000000007</v>
      </c>
      <c r="D73" s="184">
        <v>6.2</v>
      </c>
      <c r="E73" s="184"/>
      <c r="F73" s="184"/>
      <c r="G73" s="184">
        <v>7.7</v>
      </c>
      <c r="H73" s="184">
        <v>4</v>
      </c>
      <c r="I73" s="184"/>
      <c r="J73" s="184"/>
      <c r="K73" s="184">
        <v>7.7</v>
      </c>
      <c r="L73" s="184"/>
      <c r="M73" s="184">
        <v>5.7</v>
      </c>
      <c r="N73" s="184">
        <v>2</v>
      </c>
      <c r="O73" s="184"/>
      <c r="P73" s="184"/>
      <c r="Q73" s="184">
        <v>5.3</v>
      </c>
      <c r="R73" s="184">
        <v>1.5</v>
      </c>
      <c r="S73" s="184"/>
      <c r="T73" s="184"/>
      <c r="U73" s="184">
        <v>5.3</v>
      </c>
      <c r="V73" s="184">
        <v>1.5</v>
      </c>
      <c r="W73" s="184"/>
      <c r="X73" s="184"/>
      <c r="Y73" s="184">
        <v>2.4</v>
      </c>
      <c r="Z73" s="184">
        <v>0.8</v>
      </c>
      <c r="AA73" s="184"/>
      <c r="AB73" s="184"/>
      <c r="AC73" s="184">
        <v>1.8</v>
      </c>
      <c r="AD73" s="184">
        <v>0.4</v>
      </c>
      <c r="AE73" s="184"/>
      <c r="AF73" s="184"/>
      <c r="AG73" s="184">
        <v>1.8</v>
      </c>
      <c r="AH73" s="184">
        <v>0.4</v>
      </c>
      <c r="AI73" s="184"/>
      <c r="AJ73" s="184"/>
    </row>
    <row r="74" spans="1:36" x14ac:dyDescent="0.2">
      <c r="A74" s="36" t="s">
        <v>44</v>
      </c>
      <c r="B74" s="37">
        <v>4000</v>
      </c>
      <c r="C74" s="37">
        <v>1930</v>
      </c>
      <c r="D74" s="37">
        <f>B74-D70</f>
        <v>1930</v>
      </c>
      <c r="E74" s="37">
        <v>1320</v>
      </c>
      <c r="F74" s="37">
        <v>1070</v>
      </c>
      <c r="G74" s="37">
        <v>1300</v>
      </c>
      <c r="H74" s="37">
        <v>1300</v>
      </c>
      <c r="I74" s="37">
        <v>800</v>
      </c>
      <c r="J74" s="37">
        <v>650</v>
      </c>
      <c r="K74" s="37">
        <v>800</v>
      </c>
      <c r="L74" s="37">
        <v>3000</v>
      </c>
      <c r="M74" s="37">
        <v>1450</v>
      </c>
      <c r="N74" s="37">
        <v>1450</v>
      </c>
      <c r="O74" s="37">
        <v>990</v>
      </c>
      <c r="P74" s="37">
        <v>720</v>
      </c>
      <c r="Q74" s="37">
        <v>800</v>
      </c>
      <c r="R74" s="37">
        <v>800</v>
      </c>
      <c r="S74" s="37">
        <v>470</v>
      </c>
      <c r="T74" s="37">
        <v>340</v>
      </c>
      <c r="U74" s="37">
        <v>400</v>
      </c>
      <c r="V74" s="37">
        <v>710</v>
      </c>
      <c r="W74" s="37">
        <v>400</v>
      </c>
      <c r="X74" s="37">
        <v>3000</v>
      </c>
      <c r="Y74" s="37">
        <v>1450</v>
      </c>
      <c r="Z74" s="37">
        <v>1450</v>
      </c>
      <c r="AA74" s="37">
        <v>1450</v>
      </c>
      <c r="AB74" s="37">
        <v>990</v>
      </c>
      <c r="AC74" s="37">
        <v>1210</v>
      </c>
      <c r="AD74" s="37">
        <v>1210</v>
      </c>
      <c r="AE74" s="37">
        <v>1210</v>
      </c>
      <c r="AF74" s="37">
        <v>790</v>
      </c>
      <c r="AG74" s="37">
        <v>640</v>
      </c>
      <c r="AH74" s="37">
        <v>680</v>
      </c>
      <c r="AI74" s="37">
        <v>640</v>
      </c>
      <c r="AJ74" s="37">
        <v>610</v>
      </c>
    </row>
    <row r="75" spans="1:36" x14ac:dyDescent="0.2">
      <c r="A75" s="36" t="s">
        <v>195</v>
      </c>
      <c r="B75" s="37"/>
      <c r="C75" s="37">
        <v>0</v>
      </c>
      <c r="D75" s="37">
        <v>0</v>
      </c>
      <c r="E75" s="37">
        <v>1670</v>
      </c>
      <c r="F75" s="37">
        <v>3210</v>
      </c>
      <c r="G75" s="37">
        <v>0</v>
      </c>
      <c r="H75" s="37">
        <v>0</v>
      </c>
      <c r="I75" s="37">
        <v>1110</v>
      </c>
      <c r="J75" s="37">
        <v>2610</v>
      </c>
      <c r="K75" s="37">
        <v>0</v>
      </c>
      <c r="L75" s="37"/>
      <c r="M75" s="37">
        <v>0</v>
      </c>
      <c r="N75" s="37">
        <v>0</v>
      </c>
      <c r="O75" s="37">
        <v>1030</v>
      </c>
      <c r="P75" s="37">
        <v>2170</v>
      </c>
      <c r="Q75" s="37">
        <v>0</v>
      </c>
      <c r="R75" s="37">
        <v>0</v>
      </c>
      <c r="S75" s="37">
        <v>890</v>
      </c>
      <c r="T75" s="37">
        <v>1970</v>
      </c>
      <c r="U75" s="37">
        <v>0</v>
      </c>
      <c r="V75" s="37">
        <v>0</v>
      </c>
      <c r="W75" s="37">
        <v>870</v>
      </c>
      <c r="X75" s="37"/>
      <c r="Y75" s="37">
        <v>0</v>
      </c>
      <c r="Z75" s="37">
        <v>0</v>
      </c>
      <c r="AA75" s="37">
        <v>1030</v>
      </c>
      <c r="AB75" s="37">
        <v>970</v>
      </c>
      <c r="AC75" s="37">
        <v>0</v>
      </c>
      <c r="AD75" s="37">
        <v>0</v>
      </c>
      <c r="AE75" s="37">
        <v>880</v>
      </c>
      <c r="AF75" s="37">
        <v>830</v>
      </c>
      <c r="AG75" s="37">
        <v>0</v>
      </c>
      <c r="AH75" s="37">
        <v>0</v>
      </c>
      <c r="AI75" s="37">
        <v>410</v>
      </c>
      <c r="AJ75" s="37">
        <v>800</v>
      </c>
    </row>
    <row r="76" spans="1:36" x14ac:dyDescent="0.2">
      <c r="A76" s="36" t="s">
        <v>217</v>
      </c>
      <c r="B76" s="37"/>
      <c r="C76" s="37">
        <v>1300</v>
      </c>
      <c r="D76" s="37">
        <v>1300</v>
      </c>
      <c r="E76" s="37">
        <v>3710</v>
      </c>
      <c r="F76" s="37">
        <v>6440</v>
      </c>
      <c r="G76" s="37">
        <v>1640</v>
      </c>
      <c r="H76" s="37">
        <v>1640</v>
      </c>
      <c r="I76" s="37">
        <v>4310</v>
      </c>
      <c r="J76" s="37">
        <v>6900</v>
      </c>
      <c r="K76" s="37">
        <v>4670</v>
      </c>
      <c r="L76" s="37"/>
      <c r="M76" s="37">
        <v>980</v>
      </c>
      <c r="N76" s="37">
        <v>980</v>
      </c>
      <c r="O76" s="37">
        <v>2840</v>
      </c>
      <c r="P76" s="37">
        <v>6880</v>
      </c>
      <c r="Q76" s="37">
        <v>1350</v>
      </c>
      <c r="R76" s="37">
        <v>1350</v>
      </c>
      <c r="S76" s="37">
        <v>3380</v>
      </c>
      <c r="T76" s="37">
        <v>7530</v>
      </c>
      <c r="U76" s="37">
        <v>5400</v>
      </c>
      <c r="V76" s="37">
        <v>2160</v>
      </c>
      <c r="W76" s="37">
        <v>5080</v>
      </c>
      <c r="X76" s="37"/>
      <c r="Y76" s="37">
        <v>980</v>
      </c>
      <c r="Z76" s="37">
        <v>980</v>
      </c>
      <c r="AA76" s="37">
        <v>760</v>
      </c>
      <c r="AB76" s="37">
        <v>2860</v>
      </c>
      <c r="AC76" s="37">
        <v>1100</v>
      </c>
      <c r="AD76" s="37">
        <v>1100</v>
      </c>
      <c r="AE76" s="37">
        <v>900</v>
      </c>
      <c r="AF76" s="37">
        <v>3060</v>
      </c>
      <c r="AG76" s="37">
        <v>5850</v>
      </c>
      <c r="AH76" s="37">
        <v>4990</v>
      </c>
      <c r="AI76" s="37">
        <v>5710</v>
      </c>
      <c r="AJ76" s="37">
        <v>6350</v>
      </c>
    </row>
    <row r="77" spans="1:36" x14ac:dyDescent="0.2">
      <c r="A77" s="36" t="s">
        <v>18</v>
      </c>
      <c r="B77" s="37">
        <f>10.6*B23+B74</f>
        <v>30500</v>
      </c>
      <c r="C77" s="37">
        <v>19000</v>
      </c>
      <c r="D77" s="37">
        <v>12220</v>
      </c>
      <c r="E77" s="37">
        <v>-720</v>
      </c>
      <c r="F77" s="37">
        <v>-2160</v>
      </c>
      <c r="G77" s="37">
        <v>14140</v>
      </c>
      <c r="H77" s="37">
        <v>7220</v>
      </c>
      <c r="I77" s="37">
        <v>-2400</v>
      </c>
      <c r="J77" s="37">
        <v>-3640</v>
      </c>
      <c r="K77" s="37">
        <v>10610</v>
      </c>
      <c r="L77" s="37">
        <v>18000</v>
      </c>
      <c r="M77" s="37">
        <v>11170</v>
      </c>
      <c r="N77" s="37">
        <v>4250</v>
      </c>
      <c r="O77" s="37">
        <v>-820</v>
      </c>
      <c r="P77" s="37">
        <v>-3990</v>
      </c>
      <c r="Q77" s="37">
        <v>9430</v>
      </c>
      <c r="R77" s="37">
        <v>2200</v>
      </c>
      <c r="S77" s="37">
        <v>-2020</v>
      </c>
      <c r="T77" s="37">
        <v>-5220</v>
      </c>
      <c r="U77" s="37">
        <v>4980</v>
      </c>
      <c r="V77" s="37">
        <v>1300</v>
      </c>
      <c r="W77" s="37">
        <v>-3810</v>
      </c>
      <c r="X77" s="37">
        <v>8500</v>
      </c>
      <c r="Y77" s="37">
        <v>4770</v>
      </c>
      <c r="Z77" s="37">
        <v>1960</v>
      </c>
      <c r="AA77" s="37">
        <v>1720</v>
      </c>
      <c r="AB77" s="37">
        <v>-900</v>
      </c>
      <c r="AC77" s="37">
        <v>3530</v>
      </c>
      <c r="AD77" s="37">
        <v>750</v>
      </c>
      <c r="AE77" s="37">
        <v>1190</v>
      </c>
      <c r="AF77" s="37">
        <v>-1440</v>
      </c>
      <c r="AG77" s="37">
        <v>-1790</v>
      </c>
      <c r="AH77" s="37">
        <v>-3670</v>
      </c>
      <c r="AI77" s="37">
        <v>-4660</v>
      </c>
      <c r="AJ77" s="37">
        <v>-4940</v>
      </c>
    </row>
    <row r="78" spans="1:36" x14ac:dyDescent="0.2">
      <c r="A78" s="36" t="s">
        <v>41</v>
      </c>
      <c r="B78" s="38">
        <f>10*ROUND((100*B23*$B$6+B74*$B$9)/1000,0)</f>
        <v>5100</v>
      </c>
      <c r="C78" s="38">
        <v>1750</v>
      </c>
      <c r="D78" s="38">
        <v>1390</v>
      </c>
      <c r="E78" s="38">
        <v>1000</v>
      </c>
      <c r="F78" s="38">
        <v>1330</v>
      </c>
      <c r="G78" s="38">
        <v>1290</v>
      </c>
      <c r="H78" s="38">
        <v>920</v>
      </c>
      <c r="I78" s="38">
        <v>630</v>
      </c>
      <c r="J78" s="38">
        <v>990</v>
      </c>
      <c r="K78" s="38">
        <v>1090</v>
      </c>
      <c r="L78" s="38">
        <v>3000</v>
      </c>
      <c r="M78" s="38">
        <v>1150</v>
      </c>
      <c r="N78" s="38">
        <v>780</v>
      </c>
      <c r="O78" s="38">
        <v>680</v>
      </c>
      <c r="P78" s="38">
        <v>900</v>
      </c>
      <c r="Q78" s="38">
        <v>850</v>
      </c>
      <c r="R78" s="38">
        <v>470</v>
      </c>
      <c r="S78" s="38">
        <v>440</v>
      </c>
      <c r="T78" s="38">
        <v>690</v>
      </c>
      <c r="U78" s="38">
        <v>690</v>
      </c>
      <c r="V78" s="38">
        <v>430</v>
      </c>
      <c r="W78" s="38">
        <v>400</v>
      </c>
      <c r="X78" s="38">
        <v>1860</v>
      </c>
      <c r="Y78" s="38">
        <v>810</v>
      </c>
      <c r="Z78" s="38">
        <v>660</v>
      </c>
      <c r="AA78" s="38">
        <v>870</v>
      </c>
      <c r="AB78" s="38">
        <v>670</v>
      </c>
      <c r="AC78" s="38">
        <v>670</v>
      </c>
      <c r="AD78" s="38">
        <v>520</v>
      </c>
      <c r="AE78" s="38">
        <v>730</v>
      </c>
      <c r="AF78" s="38">
        <v>550</v>
      </c>
      <c r="AG78" s="38">
        <v>440</v>
      </c>
      <c r="AH78" s="38">
        <v>310</v>
      </c>
      <c r="AI78" s="38">
        <v>370</v>
      </c>
      <c r="AJ78" s="38">
        <v>470</v>
      </c>
    </row>
    <row r="79" spans="1:36" x14ac:dyDescent="0.2">
      <c r="A79" s="159" t="s">
        <v>218</v>
      </c>
      <c r="B79" s="166"/>
      <c r="C79" s="166">
        <v>110</v>
      </c>
      <c r="D79" s="166">
        <v>110</v>
      </c>
      <c r="E79" s="166">
        <v>300</v>
      </c>
      <c r="F79" s="166">
        <v>520</v>
      </c>
      <c r="G79" s="166">
        <v>130</v>
      </c>
      <c r="H79" s="166">
        <v>130</v>
      </c>
      <c r="I79" s="166">
        <v>350</v>
      </c>
      <c r="J79" s="166">
        <v>560</v>
      </c>
      <c r="K79" s="166">
        <v>380</v>
      </c>
      <c r="L79" s="166"/>
      <c r="M79" s="166">
        <v>80</v>
      </c>
      <c r="N79" s="166">
        <v>80</v>
      </c>
      <c r="O79" s="166">
        <v>230</v>
      </c>
      <c r="P79" s="166">
        <v>560</v>
      </c>
      <c r="Q79" s="166">
        <v>110</v>
      </c>
      <c r="R79" s="166">
        <v>110</v>
      </c>
      <c r="S79" s="166">
        <v>280</v>
      </c>
      <c r="T79" s="166">
        <v>610</v>
      </c>
      <c r="U79" s="166">
        <v>440</v>
      </c>
      <c r="V79" s="166">
        <v>180</v>
      </c>
      <c r="W79" s="166">
        <v>420</v>
      </c>
      <c r="X79" s="166"/>
      <c r="Y79" s="166">
        <v>80</v>
      </c>
      <c r="Z79" s="166">
        <v>80</v>
      </c>
      <c r="AA79" s="166">
        <v>60</v>
      </c>
      <c r="AB79" s="166">
        <v>230</v>
      </c>
      <c r="AC79" s="166">
        <v>90</v>
      </c>
      <c r="AD79" s="166">
        <v>90</v>
      </c>
      <c r="AE79" s="166">
        <v>70</v>
      </c>
      <c r="AF79" s="166">
        <v>250</v>
      </c>
      <c r="AG79" s="166">
        <v>480</v>
      </c>
      <c r="AH79" s="166">
        <v>410</v>
      </c>
      <c r="AI79" s="166">
        <v>470</v>
      </c>
      <c r="AJ79" s="166">
        <v>520</v>
      </c>
    </row>
    <row r="80" spans="1:36" x14ac:dyDescent="0.2">
      <c r="A80" s="33" t="s">
        <v>42</v>
      </c>
      <c r="B80" s="31">
        <v>200</v>
      </c>
      <c r="C80" s="31">
        <f>ROUNDDOWN((C36/2),0)*10+150+10*ROUND($B$11*(2*C44+C49)/1000,0)</f>
        <v>380</v>
      </c>
      <c r="D80" s="31">
        <f>ROUNDDOWN((D36/2),0)*10+150+10*ROUND($B$11*(2*D44+D49)/1000,0)</f>
        <v>440</v>
      </c>
      <c r="E80" s="38">
        <f>ROUNDDOWN((E36/2),0)*10+150+10*ROUND($B$11*(E44+E49)/1000,0)</f>
        <v>350</v>
      </c>
      <c r="F80" s="38">
        <f>ROUNDDOWN((F36/2),0)*10+150+10*ROUND($B$11*(F44+F51*0.6963)/1000,0)</f>
        <v>490</v>
      </c>
      <c r="G80" s="31">
        <f t="shared" ref="G80:H80" si="78">ROUNDDOWN((G36/2),0)*10+150+10*ROUND($B$11*(2*G44+G49)/1000,0)</f>
        <v>380</v>
      </c>
      <c r="H80" s="31">
        <f t="shared" si="78"/>
        <v>440</v>
      </c>
      <c r="I80" s="38">
        <f>ROUNDDOWN((I36/2),0)*10+150+10*ROUND($B$11*(I44+I49)/1000,0)</f>
        <v>330</v>
      </c>
      <c r="J80" s="38">
        <f>ROUNDDOWN((J36/2),0)*10+150+10*ROUND($B$11*(J44+J51*0.6963)/1000,0)</f>
        <v>440</v>
      </c>
      <c r="K80" s="31">
        <f t="shared" ref="K80:N80" si="79">ROUNDDOWN((K36/2),0)*10+150+10*ROUND($B$11*(2*K44+K49)/1000,0)</f>
        <v>400</v>
      </c>
      <c r="L80" s="31">
        <v>150</v>
      </c>
      <c r="M80" s="31">
        <f t="shared" si="79"/>
        <v>370</v>
      </c>
      <c r="N80" s="31">
        <f t="shared" si="79"/>
        <v>430</v>
      </c>
      <c r="O80" s="38">
        <f>ROUNDDOWN((O36/2),0)*10+150+10*ROUND($B$11*(O44+O49)/1000,0)</f>
        <v>310</v>
      </c>
      <c r="P80" s="38">
        <f>ROUNDDOWN((P36/2),0)*10+150+10*ROUND($B$11*(P44+P51*0.6963)/1000,0)</f>
        <v>400</v>
      </c>
      <c r="Q80" s="31">
        <f t="shared" ref="Q80:R80" si="80">ROUNDDOWN((Q36/2),0)*10+150+10*ROUND($B$11*(2*Q44+Q49)/1000,0)</f>
        <v>370</v>
      </c>
      <c r="R80" s="31">
        <f t="shared" si="80"/>
        <v>430</v>
      </c>
      <c r="S80" s="38">
        <f>ROUNDDOWN((S36/2),0)*10+150+10*ROUND($B$11*(S44+S49)/1000,0)</f>
        <v>310</v>
      </c>
      <c r="T80" s="38">
        <f>ROUNDDOWN((T36/2),0)*10+150+10*ROUND($B$11*(T44+T51*0.6963)/1000,0)</f>
        <v>390</v>
      </c>
      <c r="U80" s="31">
        <f t="shared" ref="U80:V80" si="81">ROUNDDOWN((U36/2),0)*10+150+10*ROUND($B$11*(2*U44+U49)/1000,0)</f>
        <v>400</v>
      </c>
      <c r="V80" s="31">
        <f t="shared" si="81"/>
        <v>440</v>
      </c>
      <c r="W80" s="38">
        <f>ROUNDDOWN((W36/2),0)*10+150+10*ROUND($B$11*(W44+W49)/1000,0)</f>
        <v>320</v>
      </c>
      <c r="X80" s="138">
        <v>150</v>
      </c>
      <c r="Y80" s="31">
        <f>ROUNDDOWN((Y36/2),0)*10+150+10*ROUND($B$11*(Y44+Y49)/1000,0)</f>
        <v>220</v>
      </c>
      <c r="Z80" s="31">
        <f>ROUNDDOWN((Z36/2),0)*10+150+10*ROUND($B$11*(Z44+Z49)/1000,0)</f>
        <v>250</v>
      </c>
      <c r="AA80" s="38">
        <f t="shared" ref="AA80:AB80" si="82">ROUNDDOWN((AA36/2),0)*10+150+10*ROUND($B$11*(AA44+AA49)/1000,0)</f>
        <v>210</v>
      </c>
      <c r="AB80" s="38">
        <f t="shared" si="82"/>
        <v>230</v>
      </c>
      <c r="AC80" s="31">
        <f t="shared" ref="AC80:AF80" si="83">ROUNDDOWN((AC36/2),0)*10+150+10*ROUND($B$11*(AC44+AC49)/1000,0)</f>
        <v>220</v>
      </c>
      <c r="AD80" s="31">
        <f t="shared" si="83"/>
        <v>250</v>
      </c>
      <c r="AE80" s="38">
        <f t="shared" si="83"/>
        <v>210</v>
      </c>
      <c r="AF80" s="38">
        <f t="shared" si="83"/>
        <v>230</v>
      </c>
      <c r="AG80" s="31">
        <f t="shared" ref="AG80:AJ80" si="84">ROUNDDOWN((AG36/2),0)*10+150+10*ROUND($B$11*(AG44+AG49)/1000,0)</f>
        <v>250</v>
      </c>
      <c r="AH80" s="31">
        <f t="shared" si="84"/>
        <v>280</v>
      </c>
      <c r="AI80" s="38">
        <f t="shared" si="84"/>
        <v>260</v>
      </c>
      <c r="AJ80" s="38">
        <f t="shared" si="84"/>
        <v>240</v>
      </c>
    </row>
    <row r="81" spans="1:36" x14ac:dyDescent="0.2">
      <c r="A81" s="167" t="s">
        <v>220</v>
      </c>
      <c r="B81" s="168"/>
      <c r="C81" s="22">
        <f>10*ROUND(C55/400,0)</f>
        <v>140</v>
      </c>
      <c r="D81" s="22">
        <f t="shared" ref="D81:AJ81" si="85">10*ROUND(D55/400,0)</f>
        <v>140</v>
      </c>
      <c r="E81" s="22">
        <f t="shared" si="85"/>
        <v>220</v>
      </c>
      <c r="F81" s="22">
        <f t="shared" si="85"/>
        <v>220</v>
      </c>
      <c r="G81" s="22">
        <f t="shared" si="85"/>
        <v>140</v>
      </c>
      <c r="H81" s="22">
        <f t="shared" si="85"/>
        <v>140</v>
      </c>
      <c r="I81" s="22">
        <f t="shared" si="85"/>
        <v>220</v>
      </c>
      <c r="J81" s="22">
        <f t="shared" si="85"/>
        <v>220</v>
      </c>
      <c r="K81" s="22">
        <f t="shared" si="85"/>
        <v>220</v>
      </c>
      <c r="L81" s="168"/>
      <c r="M81" s="22">
        <f t="shared" si="85"/>
        <v>110</v>
      </c>
      <c r="N81" s="22">
        <f t="shared" si="85"/>
        <v>110</v>
      </c>
      <c r="O81" s="22">
        <f t="shared" si="85"/>
        <v>180</v>
      </c>
      <c r="P81" s="22">
        <f t="shared" si="85"/>
        <v>180</v>
      </c>
      <c r="Q81" s="22">
        <f t="shared" si="85"/>
        <v>110</v>
      </c>
      <c r="R81" s="22">
        <f t="shared" si="85"/>
        <v>110</v>
      </c>
      <c r="S81" s="22">
        <f t="shared" si="85"/>
        <v>180</v>
      </c>
      <c r="T81" s="22">
        <f t="shared" si="85"/>
        <v>180</v>
      </c>
      <c r="U81" s="22">
        <f t="shared" si="85"/>
        <v>180</v>
      </c>
      <c r="V81" s="22">
        <f t="shared" si="85"/>
        <v>110</v>
      </c>
      <c r="W81" s="22">
        <f t="shared" si="85"/>
        <v>180</v>
      </c>
      <c r="X81" s="169"/>
      <c r="Y81" s="22">
        <f t="shared" si="85"/>
        <v>110</v>
      </c>
      <c r="Z81" s="22">
        <f t="shared" si="85"/>
        <v>110</v>
      </c>
      <c r="AA81" s="22">
        <f t="shared" si="85"/>
        <v>110</v>
      </c>
      <c r="AB81" s="22">
        <f t="shared" si="85"/>
        <v>180</v>
      </c>
      <c r="AC81" s="22">
        <f t="shared" si="85"/>
        <v>110</v>
      </c>
      <c r="AD81" s="22">
        <f t="shared" si="85"/>
        <v>110</v>
      </c>
      <c r="AE81" s="22">
        <f t="shared" si="85"/>
        <v>110</v>
      </c>
      <c r="AF81" s="22">
        <f t="shared" si="85"/>
        <v>180</v>
      </c>
      <c r="AG81" s="22">
        <f t="shared" si="85"/>
        <v>180</v>
      </c>
      <c r="AH81" s="22">
        <f t="shared" si="85"/>
        <v>180</v>
      </c>
      <c r="AI81" s="22">
        <f t="shared" si="85"/>
        <v>180</v>
      </c>
      <c r="AJ81" s="22">
        <f t="shared" si="85"/>
        <v>180</v>
      </c>
    </row>
    <row r="82" spans="1:36" x14ac:dyDescent="0.2">
      <c r="A82" s="39" t="s">
        <v>43</v>
      </c>
      <c r="B82" s="40">
        <f>B78+B80</f>
        <v>5300</v>
      </c>
      <c r="C82" s="40">
        <f t="shared" ref="C82:D82" si="86">C78+C80-C79+C81</f>
        <v>2160</v>
      </c>
      <c r="D82" s="40">
        <f t="shared" si="86"/>
        <v>1860</v>
      </c>
      <c r="E82" s="40">
        <f t="shared" ref="E82:Z82" si="87">E78+E80-E79+E81</f>
        <v>1270</v>
      </c>
      <c r="F82" s="40">
        <f t="shared" ref="F82:I82" si="88">F78+F80-F79+F81</f>
        <v>1520</v>
      </c>
      <c r="G82" s="40">
        <f t="shared" si="88"/>
        <v>1680</v>
      </c>
      <c r="H82" s="40">
        <f t="shared" si="88"/>
        <v>1370</v>
      </c>
      <c r="I82" s="40">
        <f t="shared" si="88"/>
        <v>830</v>
      </c>
      <c r="J82" s="40">
        <f t="shared" ref="J82:K82" si="89">J78+J80-J79+J81</f>
        <v>1090</v>
      </c>
      <c r="K82" s="40">
        <f t="shared" si="89"/>
        <v>1330</v>
      </c>
      <c r="L82" s="40">
        <f t="shared" si="87"/>
        <v>3150</v>
      </c>
      <c r="M82" s="40">
        <f t="shared" si="87"/>
        <v>1550</v>
      </c>
      <c r="N82" s="40">
        <f t="shared" si="87"/>
        <v>1240</v>
      </c>
      <c r="O82" s="40">
        <f t="shared" ref="O82:U82" si="90">O78+O80-O79+O81</f>
        <v>940</v>
      </c>
      <c r="P82" s="40">
        <f t="shared" si="90"/>
        <v>920</v>
      </c>
      <c r="Q82" s="40">
        <f t="shared" si="90"/>
        <v>1220</v>
      </c>
      <c r="R82" s="40">
        <f t="shared" si="90"/>
        <v>900</v>
      </c>
      <c r="S82" s="40">
        <f t="shared" si="90"/>
        <v>650</v>
      </c>
      <c r="T82" s="40">
        <f t="shared" si="90"/>
        <v>650</v>
      </c>
      <c r="U82" s="40">
        <f t="shared" si="90"/>
        <v>830</v>
      </c>
      <c r="V82" s="40">
        <f t="shared" ref="V82:W82" si="91">V78+V80-V79+V81</f>
        <v>800</v>
      </c>
      <c r="W82" s="40">
        <f t="shared" si="91"/>
        <v>480</v>
      </c>
      <c r="X82" s="40">
        <f t="shared" si="87"/>
        <v>2010</v>
      </c>
      <c r="Y82" s="40">
        <f t="shared" si="87"/>
        <v>1060</v>
      </c>
      <c r="Z82" s="40">
        <f t="shared" si="87"/>
        <v>940</v>
      </c>
      <c r="AA82" s="40">
        <f t="shared" ref="AA82:AG82" si="92">AA78+AA80-AA79+AA81</f>
        <v>1130</v>
      </c>
      <c r="AB82" s="40">
        <f t="shared" si="92"/>
        <v>850</v>
      </c>
      <c r="AC82" s="40">
        <f t="shared" si="92"/>
        <v>910</v>
      </c>
      <c r="AD82" s="40">
        <f t="shared" si="92"/>
        <v>790</v>
      </c>
      <c r="AE82" s="40">
        <f t="shared" si="92"/>
        <v>980</v>
      </c>
      <c r="AF82" s="40">
        <f t="shared" si="92"/>
        <v>710</v>
      </c>
      <c r="AG82" s="40">
        <f t="shared" si="92"/>
        <v>390</v>
      </c>
      <c r="AH82" s="40">
        <f t="shared" ref="AH82:AJ82" si="93">AH78+AH80-AH79+AH81</f>
        <v>360</v>
      </c>
      <c r="AI82" s="40">
        <f t="shared" si="93"/>
        <v>340</v>
      </c>
      <c r="AJ82" s="40">
        <f t="shared" si="93"/>
        <v>370</v>
      </c>
    </row>
    <row r="83" spans="1:36" x14ac:dyDescent="0.2">
      <c r="A83" s="28" t="s">
        <v>2</v>
      </c>
      <c r="B83" s="41"/>
      <c r="C83" s="41">
        <f t="shared" ref="C83:K83" si="94">-C63-20*(C82-$B$82)</f>
        <v>44530</v>
      </c>
      <c r="D83" s="41">
        <f t="shared" si="94"/>
        <v>38530</v>
      </c>
      <c r="E83" s="41">
        <f t="shared" si="94"/>
        <v>35490</v>
      </c>
      <c r="F83" s="41">
        <f t="shared" si="94"/>
        <v>12050</v>
      </c>
      <c r="G83" s="41">
        <f t="shared" si="94"/>
        <v>50870</v>
      </c>
      <c r="H83" s="41">
        <f t="shared" si="94"/>
        <v>45070</v>
      </c>
      <c r="I83" s="41">
        <f t="shared" si="94"/>
        <v>50750</v>
      </c>
      <c r="J83" s="41">
        <f t="shared" si="94"/>
        <v>26570</v>
      </c>
      <c r="K83" s="41">
        <f t="shared" si="94"/>
        <v>49370</v>
      </c>
      <c r="L83" s="41"/>
      <c r="M83" s="41">
        <f>-M63-20*(M82-$L$82)</f>
        <v>15200</v>
      </c>
      <c r="N83" s="41">
        <f t="shared" ref="N83:W83" si="95">-N63-20*(N82-$L$82)</f>
        <v>9400</v>
      </c>
      <c r="O83" s="41">
        <f t="shared" si="95"/>
        <v>13560</v>
      </c>
      <c r="P83" s="41">
        <f t="shared" si="95"/>
        <v>800</v>
      </c>
      <c r="Q83" s="41">
        <f t="shared" si="95"/>
        <v>20490</v>
      </c>
      <c r="R83" s="41">
        <f t="shared" si="95"/>
        <v>14890</v>
      </c>
      <c r="S83" s="41">
        <f t="shared" si="95"/>
        <v>19050</v>
      </c>
      <c r="T83" s="41">
        <f t="shared" si="95"/>
        <v>7010</v>
      </c>
      <c r="U83" s="41">
        <f t="shared" si="95"/>
        <v>18590</v>
      </c>
      <c r="V83" s="41">
        <f t="shared" si="95"/>
        <v>15190</v>
      </c>
      <c r="W83" s="41">
        <f t="shared" si="95"/>
        <v>20150</v>
      </c>
      <c r="X83" s="41"/>
      <c r="Y83" s="41">
        <f>-Y63-20*(Y82-$X$82)</f>
        <v>200</v>
      </c>
      <c r="Z83" s="41">
        <f t="shared" ref="Z83:AH83" si="96">-Z63-20*(Z82-$X$82)</f>
        <v>-2400</v>
      </c>
      <c r="AA83" s="41">
        <f t="shared" si="96"/>
        <v>1800</v>
      </c>
      <c r="AB83" s="41">
        <f t="shared" si="96"/>
        <v>0</v>
      </c>
      <c r="AC83" s="41">
        <f t="shared" si="96"/>
        <v>2840</v>
      </c>
      <c r="AD83" s="41">
        <f t="shared" si="96"/>
        <v>240</v>
      </c>
      <c r="AE83" s="41">
        <f t="shared" si="96"/>
        <v>5440</v>
      </c>
      <c r="AF83" s="41">
        <f t="shared" si="96"/>
        <v>3440</v>
      </c>
      <c r="AG83" s="41">
        <f t="shared" si="96"/>
        <v>2540</v>
      </c>
      <c r="AH83" s="41">
        <f t="shared" si="96"/>
        <v>-860</v>
      </c>
      <c r="AI83" s="41">
        <f t="shared" ref="AI83" si="97">-AI63-20*(AI82-$X$82)</f>
        <v>3540</v>
      </c>
      <c r="AJ83" s="41">
        <f t="shared" ref="AJ83" si="98">-AJ63-20*(AJ82-$X$82)</f>
        <v>6440</v>
      </c>
    </row>
    <row r="84" spans="1:36" x14ac:dyDescent="0.2">
      <c r="A84" s="28" t="s">
        <v>16</v>
      </c>
      <c r="B84" s="42"/>
      <c r="C84" s="43">
        <f t="shared" ref="C84:K84" si="99">IF((($B$82-C82)=0),IF((C63&lt;=0),"sofort","nie"),IF((C63/($B$82-C82)&lt;=0),IF((C63&lt;=0),"sofort","nie"),C63/($B$82-C82)))</f>
        <v>5.8184713375796182</v>
      </c>
      <c r="D84" s="43">
        <f t="shared" si="99"/>
        <v>8.7994186046511622</v>
      </c>
      <c r="E84" s="43">
        <f t="shared" si="99"/>
        <v>11.193548387096774</v>
      </c>
      <c r="F84" s="43">
        <f t="shared" si="99"/>
        <v>16.812169312169313</v>
      </c>
      <c r="G84" s="43">
        <f t="shared" si="99"/>
        <v>5.9475138121546962</v>
      </c>
      <c r="H84" s="43">
        <f t="shared" si="99"/>
        <v>8.5318066157760821</v>
      </c>
      <c r="I84" s="43">
        <f t="shared" si="99"/>
        <v>8.6465324384787472</v>
      </c>
      <c r="J84" s="43">
        <f t="shared" si="99"/>
        <v>13.688836104513063</v>
      </c>
      <c r="K84" s="43">
        <f t="shared" si="99"/>
        <v>7.5642317380352644</v>
      </c>
      <c r="L84" s="43"/>
      <c r="M84" s="43">
        <f>IF((($L$82-M82)=0),IF((M63&lt;=0),"sofort","nie"),IF((M63/($L$82-M82)&lt;=0),IF((M63&lt;=0),"sofort","nie"),M63/($L$82-M82)))</f>
        <v>10.5</v>
      </c>
      <c r="N84" s="43">
        <f t="shared" ref="N84:U84" si="100">IF((($L$82-N82)=0),IF((N63&lt;=0),"sofort","nie"),IF((N63/($L$82-N82)&lt;=0),IF((N63&lt;=0),"sofort","nie"),N63/($L$82-N82)))</f>
        <v>15.078534031413612</v>
      </c>
      <c r="O84" s="43">
        <f t="shared" si="100"/>
        <v>13.864253393665159</v>
      </c>
      <c r="P84" s="43">
        <f t="shared" si="100"/>
        <v>19.641255605381165</v>
      </c>
      <c r="Q84" s="43">
        <f t="shared" si="100"/>
        <v>9.3834196891191706</v>
      </c>
      <c r="R84" s="43">
        <f t="shared" si="100"/>
        <v>13.382222222222222</v>
      </c>
      <c r="S84" s="43">
        <f t="shared" si="100"/>
        <v>12.38</v>
      </c>
      <c r="T84" s="43">
        <f t="shared" si="100"/>
        <v>17.196000000000002</v>
      </c>
      <c r="U84" s="43">
        <f t="shared" si="100"/>
        <v>11.987068965517242</v>
      </c>
      <c r="V84" s="43">
        <f t="shared" ref="V84:W84" si="101">IF((($L$82-V82)=0),IF((V63&lt;=0),"sofort","nie"),IF((V63/($L$82-V82)&lt;=0),IF((V63&lt;=0),"sofort","nie"),V63/($L$82-V82)))</f>
        <v>13.536170212765958</v>
      </c>
      <c r="W84" s="43">
        <f t="shared" si="101"/>
        <v>12.453183520599252</v>
      </c>
      <c r="X84" s="43"/>
      <c r="Y84" s="43">
        <f>IF((($X$82-Y82)=0),IF((Y63&lt;=0),"sofort","nie"),IF((Y63/($X$82-Y82)&lt;=0),IF((Y63&lt;=0),"sofort","nie"),Y63/($X$82-Y82)))</f>
        <v>19.789473684210527</v>
      </c>
      <c r="Z84" s="43">
        <f t="shared" ref="Z84:AG84" si="102">IF((($X$82-Z82)=0),IF((Z63&lt;=0),"sofort","nie"),IF((Z63/($X$82-Z82)&lt;=0),IF((Z63&lt;=0),"sofort","nie"),Z63/($X$82-Z82)))</f>
        <v>22.242990654205606</v>
      </c>
      <c r="AA84" s="43">
        <f t="shared" si="102"/>
        <v>17.954545454545453</v>
      </c>
      <c r="AB84" s="43">
        <f t="shared" si="102"/>
        <v>20</v>
      </c>
      <c r="AC84" s="43">
        <f t="shared" si="102"/>
        <v>17.418181818181818</v>
      </c>
      <c r="AD84" s="43">
        <f t="shared" si="102"/>
        <v>19.803278688524589</v>
      </c>
      <c r="AE84" s="43">
        <f t="shared" si="102"/>
        <v>14.718446601941748</v>
      </c>
      <c r="AF84" s="43">
        <f t="shared" si="102"/>
        <v>17.353846153846153</v>
      </c>
      <c r="AG84" s="43">
        <f t="shared" si="102"/>
        <v>18.432098765432098</v>
      </c>
      <c r="AH84" s="43">
        <f t="shared" ref="AH84:AJ84" si="103">IF((($X$82-AH82)=0),IF((AH63&lt;=0),"sofort","nie"),IF((AH63/($X$82-AH82)&lt;=0),IF((AH63&lt;=0),"sofort","nie"),AH63/($X$82-AH82)))</f>
        <v>20.52121212121212</v>
      </c>
      <c r="AI84" s="43">
        <f t="shared" si="103"/>
        <v>17.880239520958085</v>
      </c>
      <c r="AJ84" s="43">
        <f t="shared" si="103"/>
        <v>16.073170731707318</v>
      </c>
    </row>
    <row r="85" spans="1:36" x14ac:dyDescent="0.2">
      <c r="A85" s="28" t="s">
        <v>17</v>
      </c>
      <c r="B85" s="44">
        <f>ROUND((10.6*B23*$I$6+B74*$I$9)/1000,1)</f>
        <v>10.5</v>
      </c>
      <c r="C85" s="44">
        <v>0.7</v>
      </c>
      <c r="D85" s="44">
        <v>0.6</v>
      </c>
      <c r="E85" s="44">
        <v>-0.4</v>
      </c>
      <c r="F85" s="44">
        <v>-1.2</v>
      </c>
      <c r="G85" s="44">
        <v>0.1</v>
      </c>
      <c r="H85" s="44">
        <v>0</v>
      </c>
      <c r="I85" s="44">
        <v>-1.3</v>
      </c>
      <c r="J85" s="44">
        <v>-2</v>
      </c>
      <c r="K85" s="44">
        <v>-1.9</v>
      </c>
      <c r="L85" s="44">
        <v>5.3</v>
      </c>
      <c r="M85" s="44">
        <v>0.5</v>
      </c>
      <c r="N85" s="44">
        <v>0.3</v>
      </c>
      <c r="O85" s="44">
        <v>-0.5</v>
      </c>
      <c r="P85" s="44">
        <v>-2.2000000000000002</v>
      </c>
      <c r="Q85" s="44">
        <v>-0.1</v>
      </c>
      <c r="R85" s="44">
        <v>-0.3</v>
      </c>
      <c r="S85" s="44">
        <v>-1.1000000000000001</v>
      </c>
      <c r="T85" s="44">
        <v>-2.9</v>
      </c>
      <c r="U85" s="44">
        <v>-2.6</v>
      </c>
      <c r="V85" s="44">
        <v>-0.8</v>
      </c>
      <c r="W85" s="44">
        <v>-2.1</v>
      </c>
      <c r="X85" s="44">
        <v>3</v>
      </c>
      <c r="Y85" s="44">
        <v>0.3</v>
      </c>
      <c r="Z85" s="44">
        <v>0.3</v>
      </c>
      <c r="AA85" s="44">
        <v>1</v>
      </c>
      <c r="AB85" s="44">
        <v>-0.5</v>
      </c>
      <c r="AC85" s="44">
        <v>0.1</v>
      </c>
      <c r="AD85" s="44">
        <v>0.1</v>
      </c>
      <c r="AE85" s="44">
        <v>0.7</v>
      </c>
      <c r="AF85" s="44">
        <v>-0.8</v>
      </c>
      <c r="AG85" s="44">
        <v>-2.9</v>
      </c>
      <c r="AH85" s="44">
        <v>-2.4</v>
      </c>
      <c r="AI85" s="44">
        <v>-0.8</v>
      </c>
      <c r="AJ85" s="44">
        <v>-2.8</v>
      </c>
    </row>
    <row r="86" spans="1:36" x14ac:dyDescent="0.2">
      <c r="A86" s="28" t="s">
        <v>3</v>
      </c>
      <c r="B86" s="45">
        <f>($B$77-$B$74-B77+B74-B76)/($B$77-$B$74)</f>
        <v>0</v>
      </c>
      <c r="C86" s="114">
        <f t="shared" ref="C86:K86" si="104">($B$77-$B$74-C77+C74-C76)/($B$77-$B$74)</f>
        <v>0.30679245283018869</v>
      </c>
      <c r="D86" s="114">
        <f t="shared" si="104"/>
        <v>0.56264150943396229</v>
      </c>
      <c r="E86" s="114">
        <f t="shared" si="104"/>
        <v>0.93698113207547173</v>
      </c>
      <c r="F86" s="114">
        <f t="shared" si="104"/>
        <v>0.87886792452830187</v>
      </c>
      <c r="G86" s="114">
        <f t="shared" si="104"/>
        <v>0.45358490566037735</v>
      </c>
      <c r="H86" s="114">
        <f t="shared" si="104"/>
        <v>0.71471698113207549</v>
      </c>
      <c r="I86" s="114">
        <f t="shared" si="104"/>
        <v>0.95811320754716978</v>
      </c>
      <c r="J86" s="114">
        <f t="shared" si="104"/>
        <v>0.90150943396226413</v>
      </c>
      <c r="K86" s="114">
        <f t="shared" si="104"/>
        <v>0.45358490566037735</v>
      </c>
      <c r="L86" s="45">
        <f>($L$77-$L$74-L77+L74-L76)/($L$77-$L$74)</f>
        <v>0</v>
      </c>
      <c r="M86" s="114">
        <f t="shared" ref="M86:W86" si="105">($L$77-$L$74-M77+M74-M76)/($L$77-$L$74)</f>
        <v>0.28666666666666668</v>
      </c>
      <c r="N86" s="114">
        <f t="shared" si="105"/>
        <v>0.748</v>
      </c>
      <c r="O86" s="114">
        <f t="shared" si="105"/>
        <v>0.93133333333333335</v>
      </c>
      <c r="P86" s="114">
        <f t="shared" si="105"/>
        <v>0.85533333333333328</v>
      </c>
      <c r="Q86" s="114">
        <f t="shared" si="105"/>
        <v>0.33466666666666667</v>
      </c>
      <c r="R86" s="114">
        <f t="shared" si="105"/>
        <v>0.81666666666666665</v>
      </c>
      <c r="S86" s="114">
        <f t="shared" si="105"/>
        <v>0.94066666666666665</v>
      </c>
      <c r="T86" s="114">
        <f t="shared" si="105"/>
        <v>0.8686666666666667</v>
      </c>
      <c r="U86" s="114">
        <f t="shared" si="105"/>
        <v>0.33466666666666667</v>
      </c>
      <c r="V86" s="114">
        <f t="shared" si="105"/>
        <v>0.81666666666666665</v>
      </c>
      <c r="W86" s="114">
        <f t="shared" si="105"/>
        <v>0.94199999999999995</v>
      </c>
      <c r="X86" s="45">
        <f>($X$77-$X$74-X77+X74-X76)/($X$77-$X$74)</f>
        <v>0</v>
      </c>
      <c r="Y86" s="114">
        <f t="shared" ref="Y86:AJ86" si="106">($X$77-$X$74-Y77+Y74-Y76)/($X$77-$X$74)</f>
        <v>0.21818181818181817</v>
      </c>
      <c r="Z86" s="114">
        <f t="shared" si="106"/>
        <v>0.72909090909090912</v>
      </c>
      <c r="AA86" s="114">
        <f t="shared" si="106"/>
        <v>0.81272727272727274</v>
      </c>
      <c r="AB86" s="114">
        <f t="shared" si="106"/>
        <v>0.82363636363636361</v>
      </c>
      <c r="AC86" s="114">
        <f t="shared" si="106"/>
        <v>0.37818181818181817</v>
      </c>
      <c r="AD86" s="114">
        <f t="shared" si="106"/>
        <v>0.88363636363636366</v>
      </c>
      <c r="AE86" s="114">
        <f t="shared" si="106"/>
        <v>0.84</v>
      </c>
      <c r="AF86" s="114">
        <f t="shared" si="106"/>
        <v>0.84909090909090912</v>
      </c>
      <c r="AG86" s="114">
        <f t="shared" si="106"/>
        <v>0.37818181818181817</v>
      </c>
      <c r="AH86" s="114">
        <f t="shared" si="106"/>
        <v>0.88363636363636366</v>
      </c>
      <c r="AI86" s="114">
        <f t="shared" si="106"/>
        <v>0.92545454545454542</v>
      </c>
      <c r="AJ86" s="114">
        <f t="shared" si="106"/>
        <v>0.8545454545454545</v>
      </c>
    </row>
    <row r="87" spans="1:36" x14ac:dyDescent="0.2">
      <c r="A87" s="28" t="s">
        <v>4</v>
      </c>
      <c r="B87" s="45">
        <f>($B$74-B74)/$B$74</f>
        <v>0</v>
      </c>
      <c r="C87" s="114">
        <f t="shared" ref="C87:K87" si="107">($B$74-C74)/$B$74</f>
        <v>0.51749999999999996</v>
      </c>
      <c r="D87" s="114">
        <f t="shared" si="107"/>
        <v>0.51749999999999996</v>
      </c>
      <c r="E87" s="114">
        <f t="shared" si="107"/>
        <v>0.67</v>
      </c>
      <c r="F87" s="114">
        <f t="shared" si="107"/>
        <v>0.73250000000000004</v>
      </c>
      <c r="G87" s="114">
        <f t="shared" si="107"/>
        <v>0.67500000000000004</v>
      </c>
      <c r="H87" s="114">
        <f t="shared" si="107"/>
        <v>0.67500000000000004</v>
      </c>
      <c r="I87" s="114">
        <f t="shared" si="107"/>
        <v>0.8</v>
      </c>
      <c r="J87" s="114">
        <f t="shared" si="107"/>
        <v>0.83750000000000002</v>
      </c>
      <c r="K87" s="114">
        <f t="shared" si="107"/>
        <v>0.8</v>
      </c>
      <c r="L87" s="45">
        <f>($L$74-L74)/$L$74</f>
        <v>0</v>
      </c>
      <c r="M87" s="114">
        <f t="shared" ref="M87:W87" si="108">($L$74-M74)/$L$74</f>
        <v>0.51666666666666672</v>
      </c>
      <c r="N87" s="114">
        <f t="shared" si="108"/>
        <v>0.51666666666666672</v>
      </c>
      <c r="O87" s="114">
        <f t="shared" si="108"/>
        <v>0.67</v>
      </c>
      <c r="P87" s="114">
        <f t="shared" si="108"/>
        <v>0.76</v>
      </c>
      <c r="Q87" s="114">
        <f t="shared" si="108"/>
        <v>0.73333333333333328</v>
      </c>
      <c r="R87" s="114">
        <f t="shared" si="108"/>
        <v>0.73333333333333328</v>
      </c>
      <c r="S87" s="114">
        <f t="shared" si="108"/>
        <v>0.84333333333333338</v>
      </c>
      <c r="T87" s="114">
        <f t="shared" si="108"/>
        <v>0.88666666666666671</v>
      </c>
      <c r="U87" s="114">
        <f t="shared" si="108"/>
        <v>0.8666666666666667</v>
      </c>
      <c r="V87" s="114">
        <f t="shared" si="108"/>
        <v>0.76333333333333331</v>
      </c>
      <c r="W87" s="114">
        <f t="shared" si="108"/>
        <v>0.8666666666666667</v>
      </c>
      <c r="X87" s="45">
        <f>($X$74-X74)/$X$74</f>
        <v>0</v>
      </c>
      <c r="Y87" s="114">
        <f t="shared" ref="Y87:AJ87" si="109">($X$74-Y74)/$X$74</f>
        <v>0.51666666666666672</v>
      </c>
      <c r="Z87" s="114">
        <f t="shared" si="109"/>
        <v>0.51666666666666672</v>
      </c>
      <c r="AA87" s="114">
        <f t="shared" si="109"/>
        <v>0.51666666666666672</v>
      </c>
      <c r="AB87" s="114">
        <f t="shared" si="109"/>
        <v>0.67</v>
      </c>
      <c r="AC87" s="114">
        <f t="shared" si="109"/>
        <v>0.59666666666666668</v>
      </c>
      <c r="AD87" s="114">
        <f t="shared" si="109"/>
        <v>0.59666666666666668</v>
      </c>
      <c r="AE87" s="114">
        <f t="shared" si="109"/>
        <v>0.59666666666666668</v>
      </c>
      <c r="AF87" s="114">
        <f t="shared" si="109"/>
        <v>0.73666666666666669</v>
      </c>
      <c r="AG87" s="114">
        <f t="shared" si="109"/>
        <v>0.78666666666666663</v>
      </c>
      <c r="AH87" s="114">
        <f t="shared" si="109"/>
        <v>0.77333333333333332</v>
      </c>
      <c r="AI87" s="114">
        <f t="shared" si="109"/>
        <v>0.78666666666666663</v>
      </c>
      <c r="AJ87" s="114">
        <f t="shared" si="109"/>
        <v>0.79666666666666663</v>
      </c>
    </row>
    <row r="88" spans="1:36" x14ac:dyDescent="0.2">
      <c r="A88" s="28" t="s">
        <v>326</v>
      </c>
      <c r="B88" s="45">
        <f>($B$77-B77)/$B$77</f>
        <v>0</v>
      </c>
      <c r="C88" s="114">
        <f t="shared" ref="C88:K88" si="110">($B$77-C77)/$B$77</f>
        <v>0.37704918032786883</v>
      </c>
      <c r="D88" s="114">
        <f t="shared" si="110"/>
        <v>0.59934426229508198</v>
      </c>
      <c r="E88" s="114">
        <f t="shared" si="110"/>
        <v>1.0236065573770492</v>
      </c>
      <c r="F88" s="114">
        <f t="shared" si="110"/>
        <v>1.0708196721311476</v>
      </c>
      <c r="G88" s="114">
        <f t="shared" si="110"/>
        <v>0.53639344262295086</v>
      </c>
      <c r="H88" s="114">
        <f t="shared" si="110"/>
        <v>0.76327868852459013</v>
      </c>
      <c r="I88" s="114">
        <f t="shared" si="110"/>
        <v>1.0786885245901638</v>
      </c>
      <c r="J88" s="114">
        <f t="shared" si="110"/>
        <v>1.119344262295082</v>
      </c>
      <c r="K88" s="114">
        <f t="shared" si="110"/>
        <v>0.65213114754098356</v>
      </c>
      <c r="L88" s="114">
        <f>($L$77-L77)/$L$77</f>
        <v>0</v>
      </c>
      <c r="M88" s="114">
        <f t="shared" ref="M88:W88" si="111">($L$77-M77)/$L$77</f>
        <v>0.37944444444444442</v>
      </c>
      <c r="N88" s="114">
        <f t="shared" si="111"/>
        <v>0.76388888888888884</v>
      </c>
      <c r="O88" s="114">
        <f t="shared" si="111"/>
        <v>1.0455555555555556</v>
      </c>
      <c r="P88" s="114">
        <f t="shared" si="111"/>
        <v>1.2216666666666667</v>
      </c>
      <c r="Q88" s="114">
        <f t="shared" si="111"/>
        <v>0.4761111111111111</v>
      </c>
      <c r="R88" s="114">
        <f t="shared" si="111"/>
        <v>0.87777777777777777</v>
      </c>
      <c r="S88" s="114">
        <f t="shared" si="111"/>
        <v>1.1122222222222222</v>
      </c>
      <c r="T88" s="114">
        <f t="shared" si="111"/>
        <v>1.29</v>
      </c>
      <c r="U88" s="114">
        <f t="shared" si="111"/>
        <v>0.72333333333333338</v>
      </c>
      <c r="V88" s="114">
        <f t="shared" si="111"/>
        <v>0.92777777777777781</v>
      </c>
      <c r="W88" s="114">
        <f t="shared" si="111"/>
        <v>1.2116666666666667</v>
      </c>
      <c r="X88" s="114">
        <f>($X$77-X77)/$X$77</f>
        <v>0</v>
      </c>
      <c r="Y88" s="114">
        <f t="shared" ref="Y88:AJ88" si="112">($X$77-Y77)/$X$77</f>
        <v>0.43882352941176472</v>
      </c>
      <c r="Z88" s="114">
        <f t="shared" si="112"/>
        <v>0.76941176470588235</v>
      </c>
      <c r="AA88" s="114">
        <f t="shared" si="112"/>
        <v>0.79764705882352938</v>
      </c>
      <c r="AB88" s="114">
        <f t="shared" si="112"/>
        <v>1.1058823529411765</v>
      </c>
      <c r="AC88" s="114">
        <f t="shared" si="112"/>
        <v>0.58470588235294119</v>
      </c>
      <c r="AD88" s="114">
        <f t="shared" si="112"/>
        <v>0.91176470588235292</v>
      </c>
      <c r="AE88" s="114">
        <f t="shared" si="112"/>
        <v>0.86</v>
      </c>
      <c r="AF88" s="114">
        <f t="shared" si="112"/>
        <v>1.1694117647058824</v>
      </c>
      <c r="AG88" s="114">
        <f t="shared" si="112"/>
        <v>1.2105882352941177</v>
      </c>
      <c r="AH88" s="114">
        <f t="shared" si="112"/>
        <v>1.4317647058823531</v>
      </c>
      <c r="AI88" s="114">
        <f t="shared" si="112"/>
        <v>1.5482352941176472</v>
      </c>
      <c r="AJ88" s="114">
        <f t="shared" si="112"/>
        <v>1.5811764705882352</v>
      </c>
    </row>
    <row r="89" spans="1:36" x14ac:dyDescent="0.2">
      <c r="A89" s="28" t="s">
        <v>327</v>
      </c>
      <c r="B89" s="45">
        <f>($B$77-B77+B73*1880)/$B$77</f>
        <v>0</v>
      </c>
      <c r="C89" s="114">
        <f t="shared" ref="C89:K89" si="113">($B$77-C77+C73*1880)/$B$77</f>
        <v>0.98111475409836069</v>
      </c>
      <c r="D89" s="114">
        <f t="shared" si="113"/>
        <v>0.98150819672131151</v>
      </c>
      <c r="E89" s="114">
        <f t="shared" si="113"/>
        <v>1.0236065573770492</v>
      </c>
      <c r="F89" s="114">
        <f t="shared" si="113"/>
        <v>1.0708196721311476</v>
      </c>
      <c r="G89" s="114">
        <f t="shared" si="113"/>
        <v>1.0110163934426228</v>
      </c>
      <c r="H89" s="114">
        <f t="shared" si="113"/>
        <v>1.0098360655737706</v>
      </c>
      <c r="I89" s="114">
        <f t="shared" si="113"/>
        <v>1.0786885245901638</v>
      </c>
      <c r="J89" s="114">
        <f t="shared" si="113"/>
        <v>1.119344262295082</v>
      </c>
      <c r="K89" s="114">
        <f t="shared" si="113"/>
        <v>1.1267540983606557</v>
      </c>
      <c r="L89" s="114">
        <f>($L$77-L77+L73*1880)/$L$77</f>
        <v>0</v>
      </c>
      <c r="M89" s="114">
        <f t="shared" ref="M89:W89" si="114">($L$77-M77+M73*1880)/$L$77</f>
        <v>0.97477777777777774</v>
      </c>
      <c r="N89" s="114">
        <f t="shared" si="114"/>
        <v>0.97277777777777774</v>
      </c>
      <c r="O89" s="114">
        <f t="shared" si="114"/>
        <v>1.0455555555555556</v>
      </c>
      <c r="P89" s="114">
        <f t="shared" si="114"/>
        <v>1.2216666666666667</v>
      </c>
      <c r="Q89" s="114">
        <f t="shared" si="114"/>
        <v>1.0296666666666667</v>
      </c>
      <c r="R89" s="114">
        <f t="shared" si="114"/>
        <v>1.0344444444444445</v>
      </c>
      <c r="S89" s="114">
        <f t="shared" si="114"/>
        <v>1.1122222222222222</v>
      </c>
      <c r="T89" s="114">
        <f t="shared" si="114"/>
        <v>1.29</v>
      </c>
      <c r="U89" s="114">
        <f t="shared" si="114"/>
        <v>1.276888888888889</v>
      </c>
      <c r="V89" s="114">
        <f t="shared" si="114"/>
        <v>1.0844444444444445</v>
      </c>
      <c r="W89" s="114">
        <f t="shared" si="114"/>
        <v>1.2116666666666667</v>
      </c>
      <c r="X89" s="114">
        <f>($X$77-X77+X73*1880)/$X$77</f>
        <v>0</v>
      </c>
      <c r="Y89" s="114">
        <f t="shared" ref="Y89:AJ89" si="115">($X$77-Y77+Y73*1880)/$X$77</f>
        <v>0.96964705882352942</v>
      </c>
      <c r="Z89" s="114">
        <f t="shared" si="115"/>
        <v>0.94635294117647062</v>
      </c>
      <c r="AA89" s="114">
        <f t="shared" si="115"/>
        <v>0.79764705882352938</v>
      </c>
      <c r="AB89" s="114">
        <f t="shared" si="115"/>
        <v>1.1058823529411765</v>
      </c>
      <c r="AC89" s="114">
        <f t="shared" si="115"/>
        <v>0.98282352941176465</v>
      </c>
      <c r="AD89" s="114">
        <f t="shared" si="115"/>
        <v>1.0002352941176471</v>
      </c>
      <c r="AE89" s="114">
        <f t="shared" si="115"/>
        <v>0.86</v>
      </c>
      <c r="AF89" s="114">
        <f t="shared" si="115"/>
        <v>1.1694117647058824</v>
      </c>
      <c r="AG89" s="114">
        <f t="shared" si="115"/>
        <v>1.6087058823529412</v>
      </c>
      <c r="AH89" s="114">
        <f t="shared" si="115"/>
        <v>1.5202352941176471</v>
      </c>
      <c r="AI89" s="114">
        <f t="shared" si="115"/>
        <v>1.5482352941176472</v>
      </c>
      <c r="AJ89" s="114">
        <f t="shared" si="115"/>
        <v>1.5811764705882352</v>
      </c>
    </row>
    <row r="90" spans="1:36" x14ac:dyDescent="0.2">
      <c r="A90" s="202" t="s">
        <v>334</v>
      </c>
      <c r="B90" s="127">
        <f>B77/B25</f>
        <v>254.16666666666666</v>
      </c>
      <c r="C90" s="127">
        <f t="shared" ref="C90:AJ90" si="116">C77/C25</f>
        <v>158.33333333333334</v>
      </c>
      <c r="D90" s="127">
        <f t="shared" si="116"/>
        <v>101.83333333333333</v>
      </c>
      <c r="E90" s="127">
        <f t="shared" si="116"/>
        <v>-6</v>
      </c>
      <c r="F90" s="127">
        <f t="shared" si="116"/>
        <v>-18</v>
      </c>
      <c r="G90" s="127">
        <f t="shared" si="116"/>
        <v>117.83333333333333</v>
      </c>
      <c r="H90" s="127">
        <f t="shared" si="116"/>
        <v>60.166666666666664</v>
      </c>
      <c r="I90" s="127">
        <f t="shared" si="116"/>
        <v>-20</v>
      </c>
      <c r="J90" s="127">
        <f t="shared" si="116"/>
        <v>-30.333333333333332</v>
      </c>
      <c r="K90" s="127">
        <f t="shared" si="116"/>
        <v>88.416666666666671</v>
      </c>
      <c r="L90" s="127">
        <f t="shared" si="116"/>
        <v>128.57142857142858</v>
      </c>
      <c r="M90" s="127">
        <f t="shared" si="116"/>
        <v>79.785714285714292</v>
      </c>
      <c r="N90" s="127">
        <f t="shared" si="116"/>
        <v>30.357142857142858</v>
      </c>
      <c r="O90" s="127">
        <f t="shared" si="116"/>
        <v>-5.8571428571428568</v>
      </c>
      <c r="P90" s="127">
        <f t="shared" si="116"/>
        <v>-28.5</v>
      </c>
      <c r="Q90" s="127">
        <f t="shared" si="116"/>
        <v>67.357142857142861</v>
      </c>
      <c r="R90" s="127">
        <f t="shared" si="116"/>
        <v>15.714285714285714</v>
      </c>
      <c r="S90" s="127">
        <f t="shared" si="116"/>
        <v>-14.428571428571429</v>
      </c>
      <c r="T90" s="127">
        <f t="shared" si="116"/>
        <v>-37.285714285714285</v>
      </c>
      <c r="U90" s="127">
        <f t="shared" si="116"/>
        <v>35.571428571428569</v>
      </c>
      <c r="V90" s="127">
        <f t="shared" si="116"/>
        <v>9.2857142857142865</v>
      </c>
      <c r="W90" s="127">
        <f t="shared" si="116"/>
        <v>-27.214285714285715</v>
      </c>
      <c r="X90" s="127">
        <f t="shared" si="116"/>
        <v>70.833333333333329</v>
      </c>
      <c r="Y90" s="127">
        <f t="shared" si="116"/>
        <v>39.75</v>
      </c>
      <c r="Z90" s="127">
        <f t="shared" si="116"/>
        <v>16.333333333333332</v>
      </c>
      <c r="AA90" s="127">
        <f t="shared" si="116"/>
        <v>14.333333333333334</v>
      </c>
      <c r="AB90" s="127">
        <f t="shared" si="116"/>
        <v>-7.5</v>
      </c>
      <c r="AC90" s="127">
        <f t="shared" si="116"/>
        <v>29.416666666666668</v>
      </c>
      <c r="AD90" s="127">
        <f t="shared" si="116"/>
        <v>6.25</v>
      </c>
      <c r="AE90" s="127">
        <f t="shared" si="116"/>
        <v>9.9166666666666661</v>
      </c>
      <c r="AF90" s="127">
        <f t="shared" si="116"/>
        <v>-12</v>
      </c>
      <c r="AG90" s="127">
        <f t="shared" si="116"/>
        <v>-14.916666666666666</v>
      </c>
      <c r="AH90" s="127">
        <f t="shared" si="116"/>
        <v>-30.583333333333332</v>
      </c>
      <c r="AI90" s="127">
        <f t="shared" si="116"/>
        <v>-38.833333333333336</v>
      </c>
      <c r="AJ90" s="127">
        <f t="shared" si="116"/>
        <v>-41.166666666666664</v>
      </c>
    </row>
    <row r="91" spans="1:36" x14ac:dyDescent="0.2">
      <c r="D91" s="6"/>
      <c r="E91" s="6"/>
      <c r="I91" s="3"/>
    </row>
    <row r="92" spans="1:36" x14ac:dyDescent="0.2">
      <c r="B92" s="57"/>
      <c r="C92" s="48" t="s">
        <v>46</v>
      </c>
      <c r="D92" s="48"/>
      <c r="E92" s="48"/>
      <c r="F92" s="58"/>
      <c r="G92" s="59" t="s">
        <v>47</v>
      </c>
      <c r="H92" s="48"/>
      <c r="I92" s="49"/>
    </row>
    <row r="93" spans="1:36" x14ac:dyDescent="0.2">
      <c r="B93" s="60"/>
      <c r="C93" t="s">
        <v>48</v>
      </c>
      <c r="F93" s="61"/>
      <c r="G93" s="51" t="s">
        <v>69</v>
      </c>
      <c r="I93" s="52"/>
    </row>
    <row r="94" spans="1:36" x14ac:dyDescent="0.2">
      <c r="B94" s="62"/>
      <c r="C94" t="s">
        <v>50</v>
      </c>
      <c r="F94" s="63"/>
      <c r="G94" t="s">
        <v>51</v>
      </c>
      <c r="I94" s="52"/>
    </row>
    <row r="95" spans="1:36" x14ac:dyDescent="0.2">
      <c r="B95" s="64"/>
      <c r="C95" s="55" t="s">
        <v>52</v>
      </c>
      <c r="D95" s="55"/>
      <c r="E95" s="55"/>
      <c r="F95" s="55"/>
      <c r="G95" s="55"/>
      <c r="H95" s="55"/>
      <c r="I95" s="56"/>
    </row>
    <row r="97" spans="2:6" x14ac:dyDescent="0.2">
      <c r="B97" s="46"/>
      <c r="C97" s="47" t="s">
        <v>55</v>
      </c>
      <c r="D97" s="48"/>
      <c r="E97" s="48"/>
      <c r="F97" s="49"/>
    </row>
    <row r="98" spans="2:6" x14ac:dyDescent="0.2">
      <c r="B98" s="50" t="s">
        <v>56</v>
      </c>
      <c r="C98" s="51" t="s">
        <v>58</v>
      </c>
      <c r="F98" s="52"/>
    </row>
    <row r="99" spans="2:6" x14ac:dyDescent="0.2">
      <c r="B99" s="53" t="s">
        <v>57</v>
      </c>
      <c r="C99" s="54" t="s">
        <v>59</v>
      </c>
      <c r="D99" s="55"/>
      <c r="E99" s="55"/>
      <c r="F99" s="56"/>
    </row>
    <row r="101" spans="2:6" x14ac:dyDescent="0.2">
      <c r="B101" t="s">
        <v>335</v>
      </c>
    </row>
    <row r="103" spans="2:6" x14ac:dyDescent="0.2">
      <c r="B103" s="204" t="s">
        <v>336</v>
      </c>
      <c r="C103" s="205" t="s">
        <v>336</v>
      </c>
      <c r="D103" s="206" t="s">
        <v>337</v>
      </c>
      <c r="E103" s="207" t="s">
        <v>337</v>
      </c>
      <c r="F103" s="208" t="s">
        <v>338</v>
      </c>
    </row>
    <row r="104" spans="2:6" x14ac:dyDescent="0.2">
      <c r="B104" s="201"/>
      <c r="C104" s="205" t="s">
        <v>339</v>
      </c>
      <c r="D104" s="206"/>
      <c r="E104" s="207" t="s">
        <v>340</v>
      </c>
      <c r="F104" s="203"/>
    </row>
  </sheetData>
  <sheetProtection algorithmName="SHA-512" hashValue="PEyx/ZmvaNHbiF0U2eox85ZjMyKLPMcr4ourm8+6fw+mSBic5PBemIJ1XBiapVpxeQcyKhKlIo1cYI8oDEM3lQ==" saltValue="qrGA/vgUH534AfrmJfuYVw==" spinCount="100000" sheet="1" objects="1" scenarios="1" selectLockedCells="1" selectUnlockedCells="1"/>
  <phoneticPr fontId="0" type="noConversion"/>
  <conditionalFormatting sqref="B84">
    <cfRule type="expression" dxfId="57" priority="194" stopIfTrue="1">
      <formula>OR(IF(B$63&gt;0,B$84&lt;=10,B$84&gt;30),B$84&lt;0)</formula>
    </cfRule>
    <cfRule type="expression" dxfId="56" priority="195" stopIfTrue="1">
      <formula>B$63&lt;0</formula>
    </cfRule>
  </conditionalFormatting>
  <conditionalFormatting sqref="B85 L85 X85">
    <cfRule type="cellIs" dxfId="55" priority="52" stopIfTrue="1" operator="greaterThan">
      <formula>$B$85</formula>
    </cfRule>
    <cfRule type="cellIs" dxfId="54" priority="55" stopIfTrue="1" operator="lessThanOrEqual">
      <formula>2</formula>
    </cfRule>
  </conditionalFormatting>
  <conditionalFormatting sqref="B63:AJ63">
    <cfRule type="cellIs" dxfId="53" priority="45" operator="lessThan">
      <formula>0</formula>
    </cfRule>
    <cfRule type="cellIs" dxfId="52" priority="46" stopIfTrue="1" operator="lessThanOrEqual">
      <formula>5000</formula>
    </cfRule>
  </conditionalFormatting>
  <conditionalFormatting sqref="B82:AJ82">
    <cfRule type="cellIs" dxfId="51" priority="218" operator="greaterThan">
      <formula>$B$82</formula>
    </cfRule>
    <cfRule type="cellIs" dxfId="50" priority="219" stopIfTrue="1" operator="lessThanOrEqual">
      <formula>1500</formula>
    </cfRule>
  </conditionalFormatting>
  <conditionalFormatting sqref="B83:AJ83">
    <cfRule type="cellIs" dxfId="49" priority="37" stopIfTrue="1" operator="greaterThanOrEqual">
      <formula>5000</formula>
    </cfRule>
  </conditionalFormatting>
  <conditionalFormatting sqref="B86:AJ86 C88:AJ89">
    <cfRule type="cellIs" dxfId="48" priority="32" stopIfTrue="1" operator="greaterThanOrEqual">
      <formula>0.5</formula>
    </cfRule>
  </conditionalFormatting>
  <conditionalFormatting sqref="B90:AJ90">
    <cfRule type="cellIs" dxfId="47" priority="1" operator="greaterThan">
      <formula>220</formula>
    </cfRule>
    <cfRule type="cellIs" dxfId="46" priority="2" operator="between">
      <formula>180</formula>
      <formula>220</formula>
    </cfRule>
    <cfRule type="cellIs" dxfId="45" priority="3" operator="between">
      <formula>100</formula>
      <formula>180</formula>
    </cfRule>
    <cfRule type="cellIs" dxfId="44" priority="4" operator="between">
      <formula>80</formula>
      <formula>100</formula>
    </cfRule>
    <cfRule type="cellIs" dxfId="43" priority="5" operator="lessThan">
      <formula>80</formula>
    </cfRule>
  </conditionalFormatting>
  <conditionalFormatting sqref="C84:K84 M84:W84 Y84:AJ84">
    <cfRule type="expression" dxfId="42" priority="200">
      <formula>OR(IF(C$62&gt;0,C$84&lt;=10,C$84&gt;30),C$84="sofort")</formula>
    </cfRule>
    <cfRule type="expression" dxfId="41" priority="201" stopIfTrue="1">
      <formula>C$63&lt;0</formula>
    </cfRule>
  </conditionalFormatting>
  <conditionalFormatting sqref="C85:K85 M85:W85">
    <cfRule type="cellIs" dxfId="40" priority="33" operator="lessThanOrEqual">
      <formula>2</formula>
    </cfRule>
    <cfRule type="cellIs" dxfId="39" priority="34" operator="greaterThan">
      <formula>$B$85</formula>
    </cfRule>
  </conditionalFormatting>
  <conditionalFormatting sqref="C87:AJ87 B87:B89">
    <cfRule type="cellIs" dxfId="38" priority="50" stopIfTrue="1" operator="greaterThanOrEqual">
      <formula>0.5</formula>
    </cfRule>
  </conditionalFormatting>
  <conditionalFormatting sqref="L84">
    <cfRule type="expression" dxfId="37" priority="208">
      <formula>OR(IF(L$63&gt;0,L$84&lt;=10,L$84&gt;30),L$86="sofort")</formula>
    </cfRule>
    <cfRule type="expression" dxfId="36" priority="209" stopIfTrue="1">
      <formula>L$63&lt;0</formula>
    </cfRule>
  </conditionalFormatting>
  <conditionalFormatting sqref="Y85:AJ85">
    <cfRule type="cellIs" dxfId="35" priority="6" operator="lessThanOrEqual">
      <formula>2</formula>
    </cfRule>
    <cfRule type="cellIs" dxfId="34" priority="7" operator="greaterThan">
      <formula>$B$85</formula>
    </cfRule>
  </conditionalFormatting>
  <pageMargins left="0.23622047244094491" right="0.23622047244094491" top="0.19685039370078741" bottom="0.19685039370078741" header="0.31496062992125984" footer="0.31496062992125984"/>
  <pageSetup paperSize="9" scale="43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L134"/>
  <sheetViews>
    <sheetView showGridLines="0" zoomScale="90" zoomScaleNormal="9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12" width="17.7109375" customWidth="1"/>
  </cols>
  <sheetData>
    <row r="1" spans="1:38" s="2" customFormat="1" ht="23.25" x14ac:dyDescent="0.35">
      <c r="A1" s="7" t="s">
        <v>273</v>
      </c>
      <c r="B1" s="2" t="s">
        <v>274</v>
      </c>
    </row>
    <row r="2" spans="1:38" s="2" customFormat="1" ht="23.25" x14ac:dyDescent="0.35">
      <c r="A2" s="7"/>
      <c r="B2" s="65" t="s">
        <v>328</v>
      </c>
    </row>
    <row r="3" spans="1:38" s="2" customFormat="1" ht="23.25" x14ac:dyDescent="0.35">
      <c r="A3" s="7"/>
      <c r="B3" s="51" t="s">
        <v>320</v>
      </c>
      <c r="C3"/>
      <c r="D3"/>
      <c r="E3"/>
      <c r="F3"/>
    </row>
    <row r="4" spans="1:38" s="2" customFormat="1" ht="24.95" customHeight="1" x14ac:dyDescent="0.35">
      <c r="A4" s="7"/>
      <c r="B4" s="94" t="s">
        <v>323</v>
      </c>
      <c r="C4" s="95"/>
      <c r="D4" s="95"/>
      <c r="E4" s="95"/>
      <c r="F4" s="95"/>
      <c r="M4" s="100"/>
      <c r="N4" s="100"/>
    </row>
    <row r="5" spans="1:38" ht="12.75" customHeight="1" x14ac:dyDescent="0.2">
      <c r="A5" s="10"/>
      <c r="B5" s="11"/>
      <c r="C5" s="11"/>
      <c r="D5" s="11"/>
      <c r="E5" s="11"/>
      <c r="F5" s="11"/>
      <c r="G5" s="11"/>
      <c r="H5" s="74" t="s">
        <v>34</v>
      </c>
      <c r="I5" s="71"/>
      <c r="J5" s="11"/>
      <c r="K5" s="11"/>
      <c r="L5" s="11"/>
      <c r="M5" s="11"/>
      <c r="N5" s="12"/>
      <c r="O5" s="81"/>
      <c r="P5" s="81"/>
    </row>
    <row r="6" spans="1:38" x14ac:dyDescent="0.2">
      <c r="A6" s="17" t="s">
        <v>53</v>
      </c>
      <c r="B6" s="67">
        <v>2500</v>
      </c>
      <c r="C6" s="68" t="s">
        <v>54</v>
      </c>
      <c r="D6" s="69" t="str">
        <f>IF(OR((B6&lt;0),(B6&gt;100000)),"Wert prüfen","gültiger Wert")</f>
        <v>gültiger Wert</v>
      </c>
      <c r="E6" s="9"/>
      <c r="F6" s="9"/>
      <c r="G6" s="9"/>
      <c r="H6" s="76">
        <v>2500</v>
      </c>
      <c r="I6" s="71" t="s">
        <v>54</v>
      </c>
      <c r="J6" s="9"/>
      <c r="K6" s="9"/>
      <c r="L6" s="9"/>
      <c r="M6" s="9"/>
      <c r="N6" s="14"/>
      <c r="O6" s="81"/>
      <c r="P6" s="81"/>
    </row>
    <row r="7" spans="1:38" x14ac:dyDescent="0.2">
      <c r="A7" s="17" t="s">
        <v>70</v>
      </c>
      <c r="B7" s="67">
        <v>0</v>
      </c>
      <c r="C7" s="68" t="s">
        <v>68</v>
      </c>
      <c r="D7" s="69" t="str">
        <f>IF(OR((B7&lt;0),(B7&gt;1000000)),"Wert prüfen","gültiger Wert")</f>
        <v>gültiger Wert</v>
      </c>
      <c r="E7" s="9"/>
      <c r="F7" s="9"/>
      <c r="G7" s="9"/>
      <c r="H7" s="76">
        <v>0</v>
      </c>
      <c r="I7" s="71" t="s">
        <v>68</v>
      </c>
      <c r="J7" s="9"/>
      <c r="K7" s="9"/>
      <c r="L7" s="9"/>
      <c r="M7" s="9"/>
      <c r="N7" s="14"/>
      <c r="O7" s="81"/>
      <c r="P7" s="81"/>
    </row>
    <row r="8" spans="1:38" x14ac:dyDescent="0.2">
      <c r="A8" s="17" t="s">
        <v>73</v>
      </c>
      <c r="B8" s="67">
        <v>0</v>
      </c>
      <c r="C8" s="68" t="s">
        <v>76</v>
      </c>
      <c r="D8" s="69" t="str">
        <f>IF(OR((B8&lt;0),(B8&gt;100000)),"Wert prüfen","gültiger Wert")</f>
        <v>gültiger Wert</v>
      </c>
      <c r="E8" s="9"/>
      <c r="F8" s="9"/>
      <c r="G8" s="9"/>
      <c r="H8" s="76">
        <v>0</v>
      </c>
      <c r="I8" s="71" t="s">
        <v>68</v>
      </c>
      <c r="J8" s="9"/>
      <c r="K8" s="9"/>
      <c r="L8" s="9"/>
      <c r="M8" s="9"/>
      <c r="N8" s="14"/>
      <c r="O8" s="81"/>
      <c r="P8" s="81"/>
    </row>
    <row r="9" spans="1:38" x14ac:dyDescent="0.2">
      <c r="A9" s="17" t="s">
        <v>74</v>
      </c>
      <c r="B9" s="67">
        <v>0</v>
      </c>
      <c r="C9" s="68" t="s">
        <v>77</v>
      </c>
      <c r="D9" s="69" t="str">
        <f>IF(OR((B9&lt;0),(B9&gt;100000)),"Wert prüfen","gültiger Wert")</f>
        <v>gültiger Wert</v>
      </c>
      <c r="E9" s="9"/>
      <c r="F9" s="9"/>
      <c r="G9" s="9"/>
      <c r="H9" s="76">
        <v>0</v>
      </c>
      <c r="I9" s="71" t="s">
        <v>68</v>
      </c>
      <c r="J9" s="9"/>
      <c r="K9" s="9"/>
      <c r="L9" s="9"/>
      <c r="M9" s="9"/>
      <c r="N9" s="14"/>
      <c r="O9" s="81"/>
      <c r="P9" s="81"/>
    </row>
    <row r="10" spans="1:38" x14ac:dyDescent="0.2">
      <c r="A10" s="17" t="s">
        <v>75</v>
      </c>
      <c r="B10" s="67">
        <v>0</v>
      </c>
      <c r="C10" s="68" t="s">
        <v>68</v>
      </c>
      <c r="D10" s="69" t="str">
        <f>IF(OR((B10&lt;0),(B10&gt;1000000)),"Wert prüfen","gültiger Wert")</f>
        <v>gültiger Wert</v>
      </c>
      <c r="E10" s="9"/>
      <c r="F10" s="9"/>
      <c r="G10" s="9"/>
      <c r="H10" s="76">
        <v>0</v>
      </c>
      <c r="I10" s="71" t="s">
        <v>68</v>
      </c>
      <c r="J10" s="9"/>
      <c r="K10" s="9"/>
      <c r="L10" s="9"/>
      <c r="M10" s="9"/>
      <c r="N10" s="14"/>
      <c r="O10" s="81"/>
      <c r="P10" s="81"/>
    </row>
    <row r="11" spans="1:38" x14ac:dyDescent="0.2">
      <c r="A11" s="17" t="s">
        <v>71</v>
      </c>
      <c r="B11" s="67">
        <v>4600</v>
      </c>
      <c r="C11" s="68" t="s">
        <v>68</v>
      </c>
      <c r="D11" s="69" t="str">
        <f>IF(OR((B11&lt;0),(B11&gt;100000)),"Wert prüfen","gültiger Wert")</f>
        <v>gültiger Wert</v>
      </c>
      <c r="E11" s="9"/>
      <c r="F11" s="9"/>
      <c r="G11" s="9"/>
      <c r="H11" s="76">
        <v>4600</v>
      </c>
      <c r="I11" s="71" t="s">
        <v>68</v>
      </c>
      <c r="J11" s="17" t="s">
        <v>29</v>
      </c>
      <c r="K11" s="18"/>
      <c r="L11" s="19"/>
      <c r="M11" s="74" t="s">
        <v>34</v>
      </c>
      <c r="N11" s="71"/>
      <c r="O11" s="81"/>
      <c r="P11" s="81"/>
    </row>
    <row r="12" spans="1:38" x14ac:dyDescent="0.2">
      <c r="A12" s="17" t="s">
        <v>72</v>
      </c>
      <c r="B12" s="67">
        <v>3000</v>
      </c>
      <c r="C12" s="68" t="s">
        <v>68</v>
      </c>
      <c r="D12" s="69" t="str">
        <f>IF(OR((B12&lt;0),(B12&gt;100000)),"Wert prüfen","gültiger Wert")</f>
        <v>gültiger Wert</v>
      </c>
      <c r="E12" s="9"/>
      <c r="F12" s="9"/>
      <c r="G12" s="9"/>
      <c r="H12" s="76">
        <v>3000</v>
      </c>
      <c r="I12" s="71" t="s">
        <v>68</v>
      </c>
      <c r="J12" s="20" t="s">
        <v>40</v>
      </c>
      <c r="K12" s="73">
        <v>0.31</v>
      </c>
      <c r="L12" s="19" t="s">
        <v>33</v>
      </c>
      <c r="M12" s="98">
        <v>0.31</v>
      </c>
      <c r="N12" s="71" t="s">
        <v>33</v>
      </c>
      <c r="O12" s="81"/>
      <c r="P12" s="81"/>
    </row>
    <row r="13" spans="1:38" x14ac:dyDescent="0.2">
      <c r="A13" s="17" t="s">
        <v>84</v>
      </c>
      <c r="B13" s="70">
        <v>0.8</v>
      </c>
      <c r="C13" s="68"/>
      <c r="D13" s="69" t="str">
        <f>IF(OR((B13&lt;0.5),(B13&gt;1)),"Wert außerhalb","gültiger Wert")</f>
        <v>gültiger Wert</v>
      </c>
      <c r="E13" s="9"/>
      <c r="F13" s="9"/>
      <c r="G13" s="9"/>
      <c r="H13" s="75">
        <v>0.8</v>
      </c>
      <c r="I13" s="71"/>
      <c r="J13" s="20" t="s">
        <v>30</v>
      </c>
      <c r="K13" s="73">
        <v>0.24</v>
      </c>
      <c r="L13" s="19" t="s">
        <v>33</v>
      </c>
      <c r="M13" s="98">
        <v>0.24</v>
      </c>
      <c r="N13" s="71" t="s">
        <v>33</v>
      </c>
      <c r="O13" s="81"/>
      <c r="P13" s="81"/>
    </row>
    <row r="14" spans="1:38" x14ac:dyDescent="0.2">
      <c r="A14" s="17" t="s">
        <v>39</v>
      </c>
      <c r="B14" s="66">
        <v>1.4</v>
      </c>
      <c r="C14" s="69" t="s">
        <v>85</v>
      </c>
      <c r="D14" s="69" t="str">
        <f>IF(OR((B14&lt;0),(B14&gt;10)),"Wert prüfen","gültiger Wert")</f>
        <v>gültiger Wert</v>
      </c>
      <c r="E14" s="9"/>
      <c r="F14" s="9"/>
      <c r="G14" s="9"/>
      <c r="H14" s="91" t="s">
        <v>80</v>
      </c>
      <c r="I14" s="71"/>
      <c r="J14" s="20" t="s">
        <v>22</v>
      </c>
      <c r="K14" s="73">
        <v>0.56000000000000005</v>
      </c>
      <c r="L14" s="19" t="s">
        <v>33</v>
      </c>
      <c r="M14" s="98">
        <v>0.56000000000000005</v>
      </c>
      <c r="N14" s="71" t="s">
        <v>33</v>
      </c>
      <c r="O14" s="81"/>
      <c r="P14" s="81"/>
    </row>
    <row r="15" spans="1:38" x14ac:dyDescent="0.2">
      <c r="A15" s="17" t="s">
        <v>19</v>
      </c>
      <c r="B15" s="66">
        <v>12</v>
      </c>
      <c r="C15" s="69" t="s">
        <v>21</v>
      </c>
      <c r="D15" s="69" t="str">
        <f>IF(OR((B15&lt;3),(B15&gt;100)),"Wert prüfen","gültiger Wert")</f>
        <v>gültiger Wert</v>
      </c>
      <c r="E15" s="9"/>
      <c r="F15" s="9"/>
      <c r="G15" s="9"/>
      <c r="H15" s="91" t="s">
        <v>81</v>
      </c>
      <c r="I15" s="71"/>
      <c r="J15" s="20" t="s">
        <v>31</v>
      </c>
      <c r="K15" s="73">
        <v>0.02</v>
      </c>
      <c r="L15" s="19" t="s">
        <v>33</v>
      </c>
      <c r="M15" s="98">
        <v>0.02</v>
      </c>
      <c r="N15" s="71" t="s">
        <v>33</v>
      </c>
      <c r="O15" s="81"/>
      <c r="P15" s="81"/>
    </row>
    <row r="16" spans="1:38" x14ac:dyDescent="0.2">
      <c r="A16" s="17" t="s">
        <v>23</v>
      </c>
      <c r="B16" s="67">
        <v>100</v>
      </c>
      <c r="C16" s="69" t="s">
        <v>25</v>
      </c>
      <c r="D16" s="20" t="str">
        <f>IF(OR((B16&lt;10),(B16&gt;1000)),"Wert prüfen","gültiger Wert")</f>
        <v>gültiger Wert</v>
      </c>
      <c r="E16" s="90">
        <v>1880</v>
      </c>
      <c r="F16" s="18" t="s">
        <v>27</v>
      </c>
      <c r="G16" s="105">
        <f>B16/E16*100</f>
        <v>5.3191489361702127</v>
      </c>
      <c r="H16" s="75">
        <v>100</v>
      </c>
      <c r="I16" s="103" t="s">
        <v>25</v>
      </c>
      <c r="J16" s="20" t="s">
        <v>32</v>
      </c>
      <c r="K16" s="73">
        <v>4.1000000000000002E-2</v>
      </c>
      <c r="L16" s="19" t="s">
        <v>33</v>
      </c>
      <c r="M16" s="98">
        <v>4.1000000000000002E-2</v>
      </c>
      <c r="N16" s="71" t="s">
        <v>33</v>
      </c>
      <c r="O16" s="4"/>
      <c r="P16" s="5"/>
      <c r="Q16" s="4"/>
      <c r="R16" s="5"/>
      <c r="S16" s="4"/>
      <c r="T16" s="4"/>
      <c r="AK16" s="81"/>
      <c r="AL16" s="81"/>
    </row>
    <row r="17" spans="1:38" x14ac:dyDescent="0.2">
      <c r="A17" s="17" t="s">
        <v>24</v>
      </c>
      <c r="B17" s="67">
        <v>400</v>
      </c>
      <c r="C17" s="69" t="s">
        <v>26</v>
      </c>
      <c r="D17" s="20" t="str">
        <f>IF(OR((B17&lt;150),(B17&gt;1000)),"Wert prüfen","gültiger Wert")</f>
        <v>gültiger Wert</v>
      </c>
      <c r="E17" s="90">
        <v>5400</v>
      </c>
      <c r="F17" s="104" t="s">
        <v>28</v>
      </c>
      <c r="G17" s="105">
        <f>B17/E17*100</f>
        <v>7.4074074074074066</v>
      </c>
      <c r="H17" s="75">
        <v>400</v>
      </c>
      <c r="I17" s="103" t="s">
        <v>26</v>
      </c>
      <c r="J17" s="10"/>
      <c r="K17" s="9"/>
      <c r="L17" s="9"/>
      <c r="M17" s="96"/>
      <c r="N17" s="97"/>
      <c r="O17" s="4"/>
      <c r="P17" s="5"/>
      <c r="Q17" s="4"/>
      <c r="R17" s="5"/>
      <c r="S17" s="4"/>
      <c r="T17" s="4"/>
      <c r="AK17" s="81"/>
      <c r="AL17" s="81"/>
    </row>
    <row r="18" spans="1:38" x14ac:dyDescent="0.2">
      <c r="A18" s="17" t="s">
        <v>20</v>
      </c>
      <c r="B18" s="66">
        <v>40</v>
      </c>
      <c r="C18" s="69" t="s">
        <v>21</v>
      </c>
      <c r="D18" s="69" t="str">
        <f>IF(OR((B18&lt;10),(B18&gt;200)),"Wert prüfen","gültiger Wert")</f>
        <v>gültiger Wert</v>
      </c>
      <c r="E18" s="9"/>
      <c r="F18" s="9"/>
      <c r="G18" s="9"/>
      <c r="H18" s="91" t="s">
        <v>82</v>
      </c>
      <c r="I18" s="71"/>
      <c r="J18" s="9"/>
      <c r="K18" s="9"/>
      <c r="L18" s="9"/>
      <c r="M18" s="96"/>
      <c r="N18" s="97"/>
      <c r="O18" s="81"/>
      <c r="P18" s="81"/>
    </row>
    <row r="19" spans="1:38" x14ac:dyDescent="0.2">
      <c r="A19" s="17" t="s">
        <v>78</v>
      </c>
      <c r="B19" s="66">
        <v>28</v>
      </c>
      <c r="C19" s="69" t="s">
        <v>21</v>
      </c>
      <c r="D19" s="69" t="str">
        <f>IF(OR((B19&lt;10),(B19&gt;200)),"Wert prüfen","gültiger Wert")</f>
        <v>gültiger Wert</v>
      </c>
      <c r="E19" s="9"/>
      <c r="F19" s="9"/>
      <c r="G19" s="9"/>
      <c r="H19" s="91">
        <v>28</v>
      </c>
      <c r="I19" s="71" t="s">
        <v>154</v>
      </c>
      <c r="J19" s="9"/>
      <c r="K19" s="9"/>
      <c r="L19" s="9"/>
      <c r="M19" s="96"/>
      <c r="N19" s="97"/>
      <c r="O19" s="81"/>
      <c r="P19" s="81"/>
    </row>
    <row r="20" spans="1:38" x14ac:dyDescent="0.2">
      <c r="A20" s="17" t="s">
        <v>155</v>
      </c>
      <c r="B20" s="66">
        <v>28</v>
      </c>
      <c r="C20" s="69" t="s">
        <v>21</v>
      </c>
      <c r="D20" s="69" t="str">
        <f>IF(OR((B20&lt;10),(B20&gt;200)),"Wert prüfen","gültiger Wert")</f>
        <v>gültiger Wert</v>
      </c>
      <c r="E20" s="9"/>
      <c r="F20" s="9"/>
      <c r="G20" s="9"/>
      <c r="H20" s="91">
        <v>28</v>
      </c>
      <c r="I20" s="71" t="s">
        <v>154</v>
      </c>
      <c r="J20" s="9"/>
      <c r="K20" s="9"/>
      <c r="L20" s="9"/>
      <c r="M20" s="96"/>
      <c r="N20" s="97"/>
      <c r="O20" s="81"/>
      <c r="P20" s="81"/>
    </row>
    <row r="21" spans="1:38" x14ac:dyDescent="0.2">
      <c r="A21" s="17" t="s">
        <v>204</v>
      </c>
      <c r="B21" s="66">
        <v>8.1999999999999993</v>
      </c>
      <c r="C21" s="69" t="s">
        <v>21</v>
      </c>
      <c r="D21" s="69" t="str">
        <f>IF(OR((B21&lt;0),(B21&gt;100)),"Wert prüfen","gültiger Wert")</f>
        <v>gültiger Wert</v>
      </c>
      <c r="E21" s="9"/>
      <c r="F21" s="9"/>
      <c r="G21" s="9"/>
      <c r="H21" s="91">
        <v>8.1999999999999993</v>
      </c>
      <c r="I21" s="71" t="s">
        <v>154</v>
      </c>
      <c r="J21" s="9"/>
      <c r="K21" s="9"/>
      <c r="L21" s="9"/>
      <c r="M21" s="96"/>
      <c r="N21" s="97"/>
      <c r="O21" s="81"/>
      <c r="P21" s="81"/>
    </row>
    <row r="22" spans="1:38" x14ac:dyDescent="0.2">
      <c r="A22" s="17" t="s">
        <v>205</v>
      </c>
      <c r="B22" s="66">
        <v>7.1</v>
      </c>
      <c r="C22" s="69" t="s">
        <v>21</v>
      </c>
      <c r="D22" s="69" t="str">
        <f>IF(OR((B22&lt;0),(B22&gt;100)),"Wert prüfen","gültiger Wert")</f>
        <v>gültiger Wert</v>
      </c>
      <c r="E22" s="9"/>
      <c r="F22" s="9"/>
      <c r="G22" s="9"/>
      <c r="H22" s="91">
        <v>7.1</v>
      </c>
      <c r="I22" s="71" t="s">
        <v>154</v>
      </c>
      <c r="J22" s="9"/>
      <c r="K22" s="9"/>
      <c r="L22" s="9"/>
      <c r="M22" s="96"/>
      <c r="N22" s="97"/>
      <c r="O22" s="81"/>
      <c r="P22" s="81"/>
    </row>
    <row r="23" spans="1:38" x14ac:dyDescent="0.2">
      <c r="A23" s="17" t="s">
        <v>101</v>
      </c>
      <c r="B23" s="67">
        <v>1000</v>
      </c>
      <c r="C23" s="112" t="s">
        <v>102</v>
      </c>
      <c r="D23" s="69" t="str">
        <f>IF(OR((B23&lt;500),(B23&gt;1500)),"Wert außerhalb","gültiger Wert")</f>
        <v>gültiger Wert</v>
      </c>
      <c r="E23" s="13"/>
      <c r="F23" s="9"/>
      <c r="G23" s="14"/>
      <c r="H23" s="91">
        <v>1000</v>
      </c>
      <c r="I23" s="71" t="s">
        <v>102</v>
      </c>
      <c r="J23" s="13"/>
      <c r="K23" s="9"/>
      <c r="L23" s="9"/>
      <c r="M23" s="9"/>
      <c r="N23" s="14"/>
      <c r="O23" s="81"/>
      <c r="P23" s="81"/>
    </row>
    <row r="24" spans="1:38" x14ac:dyDescent="0.2">
      <c r="A24" s="17" t="s">
        <v>221</v>
      </c>
      <c r="B24" s="67">
        <v>66</v>
      </c>
      <c r="C24" s="112" t="s">
        <v>222</v>
      </c>
      <c r="D24" s="69" t="str">
        <f>IF(OR((B24&lt;0),(B24&gt;500)),"Wert prüfen","gültiger Wert")</f>
        <v>gültiger Wert</v>
      </c>
      <c r="E24" s="9"/>
      <c r="F24" s="9"/>
      <c r="G24" s="9"/>
      <c r="H24" s="91">
        <v>66</v>
      </c>
      <c r="I24" s="71" t="s">
        <v>222</v>
      </c>
      <c r="J24" s="13"/>
      <c r="K24" s="9"/>
      <c r="L24" s="9"/>
      <c r="M24" s="9"/>
      <c r="N24" s="14"/>
      <c r="O24" s="81"/>
      <c r="P24" s="81"/>
    </row>
    <row r="25" spans="1:38" x14ac:dyDescent="0.2">
      <c r="A25" s="17" t="s">
        <v>264</v>
      </c>
      <c r="B25" s="67">
        <v>150</v>
      </c>
      <c r="C25" s="112" t="s">
        <v>265</v>
      </c>
      <c r="D25" s="69" t="str">
        <f>IF(OR((B25&lt;0),(B25&gt;1000)),"Wert prüfen","gültiger Wert")</f>
        <v>gültiger Wert</v>
      </c>
      <c r="E25" s="9"/>
      <c r="F25" s="9"/>
      <c r="G25" s="9"/>
      <c r="H25" s="91">
        <v>150</v>
      </c>
      <c r="I25" s="71" t="s">
        <v>265</v>
      </c>
      <c r="J25" s="13"/>
      <c r="K25" s="9"/>
      <c r="L25" s="9"/>
      <c r="M25" s="9"/>
      <c r="N25" s="14"/>
      <c r="O25" s="81"/>
      <c r="P25" s="81"/>
    </row>
    <row r="26" spans="1:38" x14ac:dyDescent="0.2">
      <c r="A26" s="17" t="s">
        <v>266</v>
      </c>
      <c r="B26" s="67">
        <v>203</v>
      </c>
      <c r="C26" s="112" t="s">
        <v>265</v>
      </c>
      <c r="D26" s="69" t="str">
        <f>IF(OR((B26&lt;0),(B26&gt;1000)),"Wert prüfen","gültiger Wert")</f>
        <v>gültiger Wert</v>
      </c>
      <c r="E26" s="9"/>
      <c r="F26" s="9"/>
      <c r="G26" s="9"/>
      <c r="H26" s="91">
        <v>203</v>
      </c>
      <c r="I26" s="71" t="s">
        <v>271</v>
      </c>
      <c r="J26" s="13"/>
      <c r="K26" s="9"/>
      <c r="L26" s="9"/>
      <c r="M26" s="9"/>
      <c r="N26" s="14"/>
      <c r="O26" s="81"/>
      <c r="P26" s="81"/>
    </row>
    <row r="27" spans="1:38" x14ac:dyDescent="0.2">
      <c r="A27" s="17" t="s">
        <v>267</v>
      </c>
      <c r="B27" s="67">
        <v>452</v>
      </c>
      <c r="C27" s="112" t="s">
        <v>268</v>
      </c>
      <c r="D27" s="69" t="str">
        <f>IF(OR((B27&lt;0),(B27&gt;1000)),"Wert prüfen","gültiger Wert")</f>
        <v>gültiger Wert</v>
      </c>
      <c r="E27" s="9"/>
      <c r="F27" s="9"/>
      <c r="G27" s="9"/>
      <c r="H27" s="91">
        <v>452</v>
      </c>
      <c r="I27" s="71" t="s">
        <v>272</v>
      </c>
      <c r="J27" s="13"/>
      <c r="K27" s="9"/>
      <c r="L27" s="9"/>
      <c r="M27" s="9"/>
      <c r="N27" s="14"/>
      <c r="O27" s="81"/>
      <c r="P27" s="81"/>
    </row>
    <row r="28" spans="1:38" x14ac:dyDescent="0.2">
      <c r="A28" s="17" t="s">
        <v>269</v>
      </c>
      <c r="B28" s="67">
        <v>1350</v>
      </c>
      <c r="C28" s="112" t="s">
        <v>270</v>
      </c>
      <c r="D28" s="69" t="str">
        <f>IF(OR((B28&lt;0),(B28&gt;2000)),"Wert prüfen","gültiger Wert")</f>
        <v>gültiger Wert</v>
      </c>
      <c r="E28" s="9"/>
      <c r="F28" s="9"/>
      <c r="G28" s="9"/>
      <c r="H28" s="91">
        <v>1350</v>
      </c>
      <c r="I28" s="71" t="s">
        <v>270</v>
      </c>
      <c r="J28" s="13"/>
      <c r="K28" s="9"/>
      <c r="L28" s="9"/>
      <c r="M28" s="9"/>
      <c r="N28" s="14"/>
      <c r="O28" s="81"/>
      <c r="P28" s="81"/>
    </row>
    <row r="29" spans="1:38" x14ac:dyDescent="0.2">
      <c r="A29" s="17" t="s">
        <v>333</v>
      </c>
      <c r="B29" s="67">
        <v>120</v>
      </c>
      <c r="C29" s="112" t="s">
        <v>222</v>
      </c>
      <c r="D29" s="69" t="str">
        <f>IF(OR((B29&lt;10),(B29&gt;1000)),"Wert außerhalb","gültiger Wert")</f>
        <v>gültiger Wert</v>
      </c>
      <c r="E29" s="9"/>
      <c r="F29" s="9"/>
      <c r="G29" s="9"/>
      <c r="H29" s="91">
        <v>120</v>
      </c>
      <c r="I29" s="71" t="s">
        <v>222</v>
      </c>
      <c r="J29" s="13"/>
      <c r="K29" s="9"/>
      <c r="L29" s="9"/>
      <c r="M29" s="9"/>
      <c r="N29" s="14"/>
      <c r="O29" s="81"/>
      <c r="P29" s="81"/>
    </row>
    <row r="30" spans="1:38" x14ac:dyDescent="0.2">
      <c r="A30" s="17" t="s">
        <v>14</v>
      </c>
      <c r="B30" s="67">
        <v>4000</v>
      </c>
      <c r="C30" s="69" t="s">
        <v>15</v>
      </c>
      <c r="D30" s="69" t="str">
        <f>IF(OR((B30&lt;1000),(B30&gt;10000)),"Wert prüfen","gültiger Wert")</f>
        <v>gültiger Wert</v>
      </c>
      <c r="E30" s="9"/>
      <c r="F30" s="9"/>
      <c r="G30" s="9"/>
      <c r="H30" s="76" t="s">
        <v>83</v>
      </c>
      <c r="I30" s="71"/>
      <c r="J30" s="13"/>
      <c r="K30" s="9"/>
      <c r="L30" s="9"/>
      <c r="M30" s="9"/>
      <c r="N30" s="14"/>
      <c r="O30" s="81"/>
      <c r="P30" s="81"/>
    </row>
    <row r="31" spans="1:38" x14ac:dyDescent="0.2">
      <c r="A31" s="108" t="s">
        <v>291</v>
      </c>
      <c r="B31" s="188">
        <v>0</v>
      </c>
      <c r="C31" s="69" t="s">
        <v>15</v>
      </c>
      <c r="D31" s="69" t="str">
        <f>IF(OR((B31&lt;0),(B31&gt;30000)),"Wert prüfen","gültiger Wert")</f>
        <v>gültiger Wert</v>
      </c>
      <c r="E31" s="9"/>
      <c r="F31" s="9"/>
      <c r="G31" s="9"/>
      <c r="H31" s="76">
        <v>0</v>
      </c>
      <c r="I31" s="71" t="s">
        <v>15</v>
      </c>
      <c r="J31" s="13"/>
      <c r="K31" s="9"/>
      <c r="L31" s="9"/>
      <c r="M31" s="9"/>
      <c r="N31" s="14"/>
      <c r="O31" s="81"/>
      <c r="P31" s="81"/>
    </row>
    <row r="32" spans="1:38" x14ac:dyDescent="0.2">
      <c r="A32" s="108" t="s">
        <v>292</v>
      </c>
      <c r="B32" s="188">
        <v>0</v>
      </c>
      <c r="C32" s="69" t="s">
        <v>15</v>
      </c>
      <c r="D32" s="69" t="str">
        <f t="shared" ref="D32:D33" si="0">IF(OR((B32&lt;0),(B32&gt;30000)),"Wert prüfen","gültiger Wert")</f>
        <v>gültiger Wert</v>
      </c>
      <c r="E32" s="9"/>
      <c r="F32" s="9"/>
      <c r="G32" s="9"/>
      <c r="H32" s="76">
        <v>0</v>
      </c>
      <c r="I32" s="71" t="s">
        <v>15</v>
      </c>
      <c r="J32" s="13"/>
      <c r="K32" s="9"/>
      <c r="L32" s="9"/>
      <c r="M32" s="9"/>
      <c r="N32" s="14"/>
      <c r="O32" s="81"/>
      <c r="P32" s="81"/>
    </row>
    <row r="33" spans="1:16" x14ac:dyDescent="0.2">
      <c r="A33" s="108" t="s">
        <v>293</v>
      </c>
      <c r="B33" s="189">
        <v>0</v>
      </c>
      <c r="C33" s="69" t="s">
        <v>15</v>
      </c>
      <c r="D33" s="69" t="str">
        <f t="shared" si="0"/>
        <v>gültiger Wert</v>
      </c>
      <c r="E33" s="9"/>
      <c r="F33" s="9"/>
      <c r="G33" s="9"/>
      <c r="H33" s="76">
        <v>0</v>
      </c>
      <c r="I33" s="71" t="s">
        <v>15</v>
      </c>
      <c r="J33" s="13"/>
      <c r="K33" s="9"/>
      <c r="L33" s="9"/>
      <c r="M33" s="9"/>
      <c r="N33" s="14"/>
      <c r="O33" s="81"/>
      <c r="P33" s="81"/>
    </row>
    <row r="34" spans="1:16" x14ac:dyDescent="0.2">
      <c r="A34" s="17" t="s">
        <v>318</v>
      </c>
      <c r="B34" s="198">
        <v>0.5</v>
      </c>
      <c r="C34" s="195" t="s">
        <v>319</v>
      </c>
      <c r="D34" s="199" t="str">
        <f>IF(OR((B34&lt;0),(B34&gt;10)),"Wert prüfen","gültiger Wert")</f>
        <v>gültiger Wert</v>
      </c>
      <c r="E34" s="9"/>
      <c r="F34" s="9"/>
      <c r="G34" s="9"/>
      <c r="H34" s="196">
        <v>0.5</v>
      </c>
      <c r="I34" s="197" t="s">
        <v>319</v>
      </c>
      <c r="J34" s="13"/>
      <c r="K34" s="192"/>
      <c r="L34" s="9"/>
      <c r="M34" s="9"/>
      <c r="N34" s="14"/>
      <c r="O34" s="81"/>
      <c r="P34" s="81"/>
    </row>
    <row r="35" spans="1:16" x14ac:dyDescent="0.2">
      <c r="A35" s="108" t="s">
        <v>86</v>
      </c>
      <c r="B35" s="200" t="s">
        <v>87</v>
      </c>
      <c r="C35" s="68" t="s">
        <v>88</v>
      </c>
      <c r="D35" s="69" t="str">
        <f>IF(OR(B35="n",B35="a"),"gültiger Wert","Fehleingabe")</f>
        <v>gültiger Wert</v>
      </c>
      <c r="E35" s="15"/>
      <c r="F35" s="15"/>
      <c r="G35" s="15"/>
      <c r="H35" s="109" t="s">
        <v>87</v>
      </c>
      <c r="I35" s="71"/>
      <c r="J35" s="106"/>
      <c r="K35" s="15"/>
      <c r="L35" s="15"/>
      <c r="M35" s="15"/>
      <c r="N35" s="16"/>
    </row>
    <row r="36" spans="1:16" x14ac:dyDescent="0.2">
      <c r="B36" s="3"/>
      <c r="C36" s="3"/>
      <c r="D36" s="6"/>
      <c r="E36" s="6"/>
      <c r="F36" s="3"/>
      <c r="G36" s="3"/>
      <c r="H36" s="3"/>
      <c r="I36" s="3"/>
      <c r="J36" s="6"/>
      <c r="K36" s="6"/>
      <c r="L36" s="5"/>
      <c r="M36" s="81"/>
      <c r="N36" s="81"/>
    </row>
    <row r="37" spans="1:16" x14ac:dyDescent="0.2">
      <c r="B37" s="3"/>
      <c r="C37" s="3"/>
      <c r="D37" s="6"/>
      <c r="E37" s="6"/>
      <c r="F37" s="3"/>
      <c r="G37" s="3"/>
      <c r="H37" s="3"/>
      <c r="I37" s="3"/>
      <c r="J37" s="6"/>
    </row>
    <row r="38" spans="1:16" x14ac:dyDescent="0.2">
      <c r="A38" s="23" t="s">
        <v>0</v>
      </c>
      <c r="B38" s="24" t="s">
        <v>35</v>
      </c>
      <c r="C38" s="26" t="s">
        <v>224</v>
      </c>
      <c r="D38" s="26" t="s">
        <v>250</v>
      </c>
      <c r="E38" s="26" t="s">
        <v>276</v>
      </c>
      <c r="F38" s="26" t="s">
        <v>277</v>
      </c>
      <c r="G38" s="26" t="s">
        <v>298</v>
      </c>
    </row>
    <row r="39" spans="1:16" x14ac:dyDescent="0.2">
      <c r="A39" s="21"/>
      <c r="B39" s="21"/>
      <c r="C39" s="21" t="s">
        <v>153</v>
      </c>
      <c r="D39" s="21" t="s">
        <v>153</v>
      </c>
      <c r="E39" s="21" t="s">
        <v>278</v>
      </c>
      <c r="F39" s="21" t="s">
        <v>279</v>
      </c>
      <c r="G39" s="21" t="s">
        <v>299</v>
      </c>
    </row>
    <row r="40" spans="1:16" s="1" customFormat="1" x14ac:dyDescent="0.2">
      <c r="A40" s="21"/>
      <c r="B40" s="21"/>
      <c r="C40" s="21" t="s">
        <v>126</v>
      </c>
      <c r="D40" s="21" t="s">
        <v>126</v>
      </c>
      <c r="E40" s="21" t="s">
        <v>126</v>
      </c>
      <c r="F40" s="21" t="s">
        <v>126</v>
      </c>
      <c r="G40" s="21" t="s">
        <v>126</v>
      </c>
      <c r="H40"/>
      <c r="I40"/>
      <c r="J40"/>
      <c r="K40"/>
      <c r="L40"/>
      <c r="M40"/>
      <c r="N40"/>
    </row>
    <row r="41" spans="1:16" s="1" customFormat="1" x14ac:dyDescent="0.2">
      <c r="A41" s="21"/>
      <c r="B41" s="21"/>
      <c r="C41" s="21" t="s">
        <v>258</v>
      </c>
      <c r="D41" s="21" t="s">
        <v>261</v>
      </c>
      <c r="E41" s="21" t="s">
        <v>258</v>
      </c>
      <c r="F41" s="21" t="s">
        <v>258</v>
      </c>
      <c r="G41" s="21" t="s">
        <v>258</v>
      </c>
      <c r="H41"/>
    </row>
    <row r="42" spans="1:16" s="1" customFormat="1" x14ac:dyDescent="0.2">
      <c r="A42" s="21"/>
      <c r="B42" s="21"/>
      <c r="C42" s="21" t="s">
        <v>259</v>
      </c>
      <c r="D42" s="21" t="s">
        <v>262</v>
      </c>
      <c r="E42" s="21" t="s">
        <v>259</v>
      </c>
      <c r="F42" s="21" t="s">
        <v>259</v>
      </c>
      <c r="G42" s="21" t="s">
        <v>259</v>
      </c>
    </row>
    <row r="43" spans="1:16" s="1" customFormat="1" x14ac:dyDescent="0.2">
      <c r="A43" s="27"/>
      <c r="B43" s="27"/>
      <c r="C43" s="27" t="s">
        <v>257</v>
      </c>
      <c r="D43" s="27" t="s">
        <v>257</v>
      </c>
      <c r="E43" s="27" t="s">
        <v>257</v>
      </c>
      <c r="F43" s="27" t="s">
        <v>257</v>
      </c>
      <c r="G43" s="27" t="s">
        <v>257</v>
      </c>
    </row>
    <row r="44" spans="1:16" s="1" customFormat="1" x14ac:dyDescent="0.2">
      <c r="A44" s="21"/>
      <c r="B44" s="21"/>
      <c r="C44" s="21"/>
      <c r="D44" s="21"/>
      <c r="E44" s="21"/>
      <c r="F44" s="21"/>
      <c r="G44" s="21"/>
    </row>
    <row r="45" spans="1:16" s="1" customFormat="1" x14ac:dyDescent="0.2">
      <c r="A45" s="140" t="s">
        <v>196</v>
      </c>
      <c r="B45" s="140"/>
      <c r="C45" s="142">
        <f>Berechnung!C174</f>
        <v>6.2</v>
      </c>
      <c r="D45" s="142">
        <f>Berechnung!G151</f>
        <v>10.600000000000001</v>
      </c>
      <c r="E45" s="142"/>
      <c r="F45" s="142"/>
      <c r="G45" s="142">
        <f>Berechnung!I174</f>
        <v>10.600000000000001</v>
      </c>
    </row>
    <row r="46" spans="1:16" s="1" customFormat="1" x14ac:dyDescent="0.2">
      <c r="A46" s="140" t="s">
        <v>200</v>
      </c>
      <c r="B46" s="140"/>
      <c r="C46" s="139">
        <f>Berechnung!C175</f>
        <v>130</v>
      </c>
      <c r="D46" s="139">
        <f>Berechnung!G158</f>
        <v>0</v>
      </c>
      <c r="E46" s="139"/>
      <c r="F46" s="139"/>
      <c r="G46" s="139"/>
    </row>
    <row r="47" spans="1:16" s="1" customFormat="1" x14ac:dyDescent="0.2">
      <c r="A47" s="36" t="s">
        <v>89</v>
      </c>
      <c r="B47" s="38"/>
      <c r="C47" s="111">
        <v>35</v>
      </c>
      <c r="D47" s="111">
        <v>35</v>
      </c>
      <c r="E47" s="111">
        <v>35</v>
      </c>
      <c r="F47" s="111">
        <v>35</v>
      </c>
      <c r="G47" s="111">
        <v>35</v>
      </c>
    </row>
    <row r="48" spans="1:16" s="1" customFormat="1" x14ac:dyDescent="0.2">
      <c r="A48" s="36" t="s">
        <v>194</v>
      </c>
      <c r="B48" s="83"/>
      <c r="C48" s="135">
        <v>4.5</v>
      </c>
      <c r="D48" s="135">
        <v>4.5</v>
      </c>
      <c r="E48" s="179"/>
      <c r="F48" s="179"/>
      <c r="G48" s="135">
        <v>4</v>
      </c>
    </row>
    <row r="49" spans="1:7" s="1" customFormat="1" x14ac:dyDescent="0.2">
      <c r="A49" s="36"/>
      <c r="B49" s="83"/>
      <c r="C49" s="179"/>
      <c r="D49" s="179"/>
      <c r="E49" s="179"/>
      <c r="F49" s="179"/>
      <c r="G49" s="179"/>
    </row>
    <row r="50" spans="1:7" s="1" customFormat="1" x14ac:dyDescent="0.2">
      <c r="A50" s="181" t="s">
        <v>275</v>
      </c>
      <c r="B50" s="83"/>
      <c r="C50" s="179"/>
      <c r="D50" s="179"/>
      <c r="E50" s="182">
        <v>0.81</v>
      </c>
      <c r="F50" s="182">
        <v>0.79</v>
      </c>
      <c r="G50" s="179"/>
    </row>
    <row r="51" spans="1:7" s="1" customFormat="1" x14ac:dyDescent="0.2">
      <c r="A51" s="36"/>
      <c r="B51" s="83"/>
      <c r="C51" s="179"/>
      <c r="D51" s="179"/>
      <c r="E51" s="179"/>
      <c r="F51" s="179"/>
      <c r="G51" s="179"/>
    </row>
    <row r="52" spans="1:7" s="1" customFormat="1" x14ac:dyDescent="0.2">
      <c r="A52" s="36" t="s">
        <v>223</v>
      </c>
      <c r="B52" s="83"/>
      <c r="C52" s="170">
        <v>12</v>
      </c>
      <c r="D52" s="171">
        <f>Berechnung!G156</f>
        <v>28.799999999999997</v>
      </c>
      <c r="E52" s="170">
        <v>12</v>
      </c>
      <c r="F52" s="170">
        <v>12</v>
      </c>
      <c r="G52" s="170">
        <v>0</v>
      </c>
    </row>
    <row r="53" spans="1:7" s="1" customFormat="1" x14ac:dyDescent="0.2">
      <c r="A53" s="36" t="s">
        <v>226</v>
      </c>
      <c r="B53" s="83"/>
      <c r="C53" s="171">
        <f>IF(C52&gt;$B$24,$B$24,MIN(C52,$B$24-C59))</f>
        <v>12</v>
      </c>
      <c r="D53" s="171"/>
      <c r="E53" s="171">
        <f t="shared" ref="E53:F53" si="1">IF(E52&gt;$B$24,$B$24,MIN(E52,$B$24-E59))</f>
        <v>12</v>
      </c>
      <c r="F53" s="171">
        <f t="shared" si="1"/>
        <v>12</v>
      </c>
      <c r="G53" s="171">
        <f>MIN(G52,$B$24-G59)</f>
        <v>0</v>
      </c>
    </row>
    <row r="54" spans="1:7" s="1" customFormat="1" x14ac:dyDescent="0.2">
      <c r="A54" s="36" t="s">
        <v>330</v>
      </c>
      <c r="B54" s="83"/>
      <c r="C54" s="182">
        <v>1.1000000000000001</v>
      </c>
      <c r="D54" s="110">
        <f>C54</f>
        <v>1.1000000000000001</v>
      </c>
      <c r="E54" s="182">
        <v>1.1000000000000001</v>
      </c>
      <c r="F54" s="110">
        <f>E54</f>
        <v>1.1000000000000001</v>
      </c>
      <c r="G54" s="182">
        <v>1.1000000000000001</v>
      </c>
    </row>
    <row r="55" spans="1:7" s="1" customFormat="1" x14ac:dyDescent="0.2">
      <c r="A55" s="36"/>
      <c r="B55" s="83"/>
      <c r="C55" s="179"/>
      <c r="D55" s="179"/>
      <c r="E55" s="179"/>
      <c r="F55" s="179"/>
      <c r="G55" s="179"/>
    </row>
    <row r="56" spans="1:7" s="1" customFormat="1" x14ac:dyDescent="0.2">
      <c r="A56" s="36" t="s">
        <v>206</v>
      </c>
      <c r="B56" s="38"/>
      <c r="C56" s="173">
        <v>4</v>
      </c>
      <c r="D56" s="174">
        <f>10*ROUND(D52*$B$26/10000,2)</f>
        <v>5.8</v>
      </c>
      <c r="E56" s="173">
        <v>4</v>
      </c>
      <c r="F56" s="173">
        <v>4</v>
      </c>
      <c r="G56" s="173">
        <v>4</v>
      </c>
    </row>
    <row r="57" spans="1:7" s="1" customFormat="1" x14ac:dyDescent="0.2">
      <c r="A57" s="36" t="s">
        <v>249</v>
      </c>
      <c r="B57" s="83"/>
      <c r="C57" s="83"/>
      <c r="D57" s="173">
        <v>0</v>
      </c>
      <c r="E57" s="83"/>
      <c r="F57" s="83"/>
      <c r="G57" s="83"/>
    </row>
    <row r="58" spans="1:7" s="1" customFormat="1" x14ac:dyDescent="0.2">
      <c r="A58" s="36" t="s">
        <v>227</v>
      </c>
      <c r="B58" s="83"/>
      <c r="C58" s="174">
        <f>IF(C52&gt;$B$24,0,MIN(C56,($B$24-C52)*$B$25/1000))</f>
        <v>4</v>
      </c>
      <c r="D58" s="174">
        <f>MIN(D57,($B$24-D52)*$B$25/1000)</f>
        <v>0</v>
      </c>
      <c r="E58" s="174">
        <f t="shared" ref="E58:F58" si="2">IF(E52&gt;$B$24,0,MIN(E56,($B$24-E52)*$B$25/1000))</f>
        <v>4</v>
      </c>
      <c r="F58" s="174">
        <f t="shared" si="2"/>
        <v>4</v>
      </c>
      <c r="G58" s="174">
        <f>MIN(G56,($B$24-G52)*$B$25/1000)</f>
        <v>4</v>
      </c>
    </row>
    <row r="59" spans="1:7" s="1" customFormat="1" x14ac:dyDescent="0.2">
      <c r="A59" s="36" t="s">
        <v>225</v>
      </c>
      <c r="B59" s="83"/>
      <c r="C59" s="171">
        <f>10*ROUND(C58/($B$25/100),2)</f>
        <v>26.7</v>
      </c>
      <c r="D59" s="171">
        <f>10*ROUND((D56/($B$26/1000)+D57/($B$25/1000))/10,2)</f>
        <v>28.599999999999998</v>
      </c>
      <c r="E59" s="171">
        <f>10*ROUND(E58/($B$25/100),2)</f>
        <v>26.7</v>
      </c>
      <c r="F59" s="171">
        <f>10*ROUND((F56/($B$25/1000))/10,2)</f>
        <v>26.7</v>
      </c>
      <c r="G59" s="171">
        <f>10*ROUND(G58/($B$25/100),2)</f>
        <v>26.7</v>
      </c>
    </row>
    <row r="60" spans="1:7" s="1" customFormat="1" x14ac:dyDescent="0.2">
      <c r="A60" s="36" t="s">
        <v>207</v>
      </c>
      <c r="B60" s="83"/>
      <c r="C60" s="150">
        <f>IF(C58&gt;30,"Leistung zu hoch",IF(C58&lt;=10,$B$21,ROUND(100*(10*$B$21+(C58-10)*$B$22)/C58,2)/100))</f>
        <v>8.1999999999999993</v>
      </c>
      <c r="D60" s="150">
        <f>IF((D56+D57)&gt;30,"Leistung zu hoch",IF((D56+D57)&lt;=10,$B$21,ROUND(100*(10*$B$21+(D56+D57-10)*$B$22)/(D56+D57),2)/100))</f>
        <v>8.1999999999999993</v>
      </c>
      <c r="E60" s="150">
        <f>IF(E58&gt;30,"Leistung zu hoch",IF(E58&lt;=10,$B$21,ROUND(100*(10*$B$21+(E58-10)*$B$22)/E58,2)/100))</f>
        <v>8.1999999999999993</v>
      </c>
      <c r="F60" s="150">
        <f>IF((F56+F57)&gt;30,"Leistung zu hoch",IF((F56+F57)&lt;=10,$B$21,ROUND(100*(10*$B$21+(F56+F57-10)*$B$22)/(F56+F57),2)/100))</f>
        <v>8.1999999999999993</v>
      </c>
      <c r="G60" s="150">
        <f>IF(G58&gt;30,"Leistung zu hoch",IF(G58&lt;=10,$B$21,ROUND(100*(10*$B$21+(G58-10)*$B$22)/G58,2)/100))</f>
        <v>8.1999999999999993</v>
      </c>
    </row>
    <row r="61" spans="1:7" s="1" customFormat="1" x14ac:dyDescent="0.2">
      <c r="A61" s="36" t="s">
        <v>331</v>
      </c>
      <c r="B61" s="83"/>
      <c r="C61" s="182">
        <v>1.1000000000000001</v>
      </c>
      <c r="D61" s="110">
        <f>C61</f>
        <v>1.1000000000000001</v>
      </c>
      <c r="E61" s="182">
        <v>1.1000000000000001</v>
      </c>
      <c r="F61" s="110">
        <f>E61</f>
        <v>1.1000000000000001</v>
      </c>
      <c r="G61" s="182">
        <v>1.1000000000000001</v>
      </c>
    </row>
    <row r="62" spans="1:7" s="1" customFormat="1" x14ac:dyDescent="0.2">
      <c r="A62" s="36" t="s">
        <v>208</v>
      </c>
      <c r="B62" s="83"/>
      <c r="C62" s="182">
        <v>1</v>
      </c>
      <c r="D62" s="110">
        <f>C62</f>
        <v>1</v>
      </c>
      <c r="E62" s="182">
        <v>1</v>
      </c>
      <c r="F62" s="110">
        <f>E62</f>
        <v>1</v>
      </c>
      <c r="G62" s="182">
        <v>1</v>
      </c>
    </row>
    <row r="63" spans="1:7" s="1" customFormat="1" x14ac:dyDescent="0.2">
      <c r="A63" s="36" t="s">
        <v>209</v>
      </c>
      <c r="B63" s="83"/>
      <c r="C63" s="182">
        <v>0.93</v>
      </c>
      <c r="D63" s="110">
        <f>C63</f>
        <v>0.93</v>
      </c>
      <c r="E63" s="182">
        <v>0.93</v>
      </c>
      <c r="F63" s="110">
        <f>E63</f>
        <v>0.93</v>
      </c>
      <c r="G63" s="182">
        <v>0.93</v>
      </c>
    </row>
    <row r="64" spans="1:7" s="1" customFormat="1" x14ac:dyDescent="0.2">
      <c r="A64" s="36" t="s">
        <v>12</v>
      </c>
      <c r="B64" s="83"/>
      <c r="C64" s="152">
        <v>4</v>
      </c>
      <c r="D64" s="152">
        <v>4</v>
      </c>
      <c r="E64" s="152">
        <v>4</v>
      </c>
      <c r="F64" s="152">
        <v>4</v>
      </c>
      <c r="G64" s="152">
        <v>4</v>
      </c>
    </row>
    <row r="65" spans="1:36" s="1" customFormat="1" x14ac:dyDescent="0.2">
      <c r="A65" s="36"/>
      <c r="B65" s="83"/>
      <c r="C65" s="83"/>
      <c r="D65" s="83"/>
      <c r="E65" s="83"/>
      <c r="F65" s="83"/>
      <c r="G65" s="83"/>
    </row>
    <row r="66" spans="1:36" s="1" customFormat="1" x14ac:dyDescent="0.2">
      <c r="A66" s="82" t="s">
        <v>7</v>
      </c>
      <c r="B66" s="83"/>
      <c r="C66" s="84">
        <v>19000</v>
      </c>
      <c r="D66" s="84">
        <v>30000</v>
      </c>
      <c r="E66" s="84">
        <v>14000</v>
      </c>
      <c r="F66" s="84">
        <v>4000</v>
      </c>
      <c r="G66" s="84">
        <v>30000</v>
      </c>
    </row>
    <row r="67" spans="1:36" s="1" customFormat="1" x14ac:dyDescent="0.2">
      <c r="A67" s="82" t="s">
        <v>201</v>
      </c>
      <c r="B67" s="139"/>
      <c r="C67" s="38">
        <f>10*ROUND(C46*11.8,0)</f>
        <v>15340</v>
      </c>
      <c r="D67" s="38">
        <f>10*ROUND(D46*11.8,0)</f>
        <v>0</v>
      </c>
      <c r="E67" s="38">
        <f>10*ROUND(E46*11.8,0)</f>
        <v>0</v>
      </c>
      <c r="F67" s="38">
        <f>10*ROUND(F46*11.8,0)</f>
        <v>0</v>
      </c>
      <c r="G67" s="38">
        <f>10*ROUND(G46*11.8,0)</f>
        <v>0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s="1" customFormat="1" x14ac:dyDescent="0.2">
      <c r="A68" s="36" t="s">
        <v>38</v>
      </c>
      <c r="B68" s="38"/>
      <c r="C68" s="84">
        <v>-9330</v>
      </c>
      <c r="D68" s="38">
        <f>C68</f>
        <v>-9330</v>
      </c>
      <c r="E68" s="84">
        <v>-9330</v>
      </c>
      <c r="F68" s="84">
        <v>-9330</v>
      </c>
      <c r="G68" s="84">
        <v>-9330</v>
      </c>
      <c r="I68" s="3"/>
      <c r="J68" s="3"/>
      <c r="K68" s="3"/>
      <c r="L68" s="3"/>
      <c r="M68" s="3"/>
      <c r="N68" s="3"/>
    </row>
    <row r="69" spans="1:36" s="1" customFormat="1" x14ac:dyDescent="0.2">
      <c r="A69" s="36" t="s">
        <v>36</v>
      </c>
      <c r="B69" s="38"/>
      <c r="C69" s="38"/>
      <c r="D69" s="38"/>
      <c r="E69" s="84">
        <v>1000</v>
      </c>
      <c r="F69" s="84">
        <v>1000</v>
      </c>
      <c r="G69" s="38"/>
      <c r="H69" s="3"/>
    </row>
    <row r="70" spans="1:36" s="1" customFormat="1" x14ac:dyDescent="0.2">
      <c r="A70" s="36" t="s">
        <v>37</v>
      </c>
      <c r="B70" s="38"/>
      <c r="C70" s="84"/>
      <c r="D70" s="84"/>
      <c r="E70" s="84"/>
      <c r="F70" s="84"/>
      <c r="G70" s="84">
        <v>1000</v>
      </c>
    </row>
    <row r="71" spans="1:36" s="1" customFormat="1" x14ac:dyDescent="0.2">
      <c r="A71" s="36" t="s">
        <v>247</v>
      </c>
      <c r="B71" s="38"/>
      <c r="C71" s="38"/>
      <c r="D71" s="38">
        <f>10*ROUND(D52*$B$28/10,0)</f>
        <v>38880</v>
      </c>
      <c r="E71" s="38"/>
      <c r="F71" s="38"/>
      <c r="G71" s="38"/>
    </row>
    <row r="72" spans="1:36" s="1" customFormat="1" x14ac:dyDescent="0.2">
      <c r="A72" s="36" t="s">
        <v>6</v>
      </c>
      <c r="B72" s="38"/>
      <c r="C72" s="84">
        <v>13000</v>
      </c>
      <c r="D72" s="38">
        <f>10*ROUND(D71*0.06963,0)</f>
        <v>27070</v>
      </c>
      <c r="E72" s="84">
        <v>13000</v>
      </c>
      <c r="F72" s="84">
        <v>13000</v>
      </c>
      <c r="G72" s="84">
        <v>0</v>
      </c>
      <c r="J72" s="178"/>
    </row>
    <row r="73" spans="1:36" s="1" customFormat="1" x14ac:dyDescent="0.2">
      <c r="A73" s="36" t="s">
        <v>11</v>
      </c>
      <c r="B73" s="38"/>
      <c r="C73" s="84">
        <v>8000</v>
      </c>
      <c r="D73" s="38">
        <f>D71-D72</f>
        <v>11810</v>
      </c>
      <c r="E73" s="84">
        <v>8000</v>
      </c>
      <c r="F73" s="84">
        <v>8000</v>
      </c>
      <c r="G73" s="84">
        <v>8000</v>
      </c>
    </row>
    <row r="74" spans="1:36" s="1" customFormat="1" x14ac:dyDescent="0.2">
      <c r="A74" s="36" t="s">
        <v>248</v>
      </c>
      <c r="B74" s="38"/>
      <c r="C74" s="38"/>
      <c r="D74" s="84">
        <v>0</v>
      </c>
      <c r="E74" s="38"/>
      <c r="F74" s="38"/>
      <c r="G74" s="38"/>
    </row>
    <row r="75" spans="1:36" s="1" customFormat="1" x14ac:dyDescent="0.2">
      <c r="A75" s="36" t="s">
        <v>8</v>
      </c>
      <c r="B75" s="38"/>
      <c r="C75" s="38"/>
      <c r="D75" s="38"/>
      <c r="E75" s="84">
        <v>1000</v>
      </c>
      <c r="F75" s="84">
        <v>1000</v>
      </c>
      <c r="G75" s="38"/>
    </row>
    <row r="76" spans="1:36" s="1" customFormat="1" x14ac:dyDescent="0.2">
      <c r="A76" s="36" t="s">
        <v>9</v>
      </c>
      <c r="B76" s="38"/>
      <c r="C76" s="38"/>
      <c r="D76" s="38"/>
      <c r="E76" s="38"/>
      <c r="F76" s="38"/>
      <c r="G76" s="38"/>
    </row>
    <row r="77" spans="1:36" s="1" customFormat="1" x14ac:dyDescent="0.2">
      <c r="A77" s="36" t="s">
        <v>10</v>
      </c>
      <c r="B77" s="38"/>
      <c r="C77" s="84">
        <v>6000</v>
      </c>
      <c r="D77" s="84">
        <v>6000</v>
      </c>
      <c r="E77" s="84">
        <v>6000</v>
      </c>
      <c r="F77" s="84">
        <v>0</v>
      </c>
      <c r="G77" s="84"/>
    </row>
    <row r="78" spans="1:36" s="1" customFormat="1" x14ac:dyDescent="0.2">
      <c r="A78" s="85" t="s">
        <v>12</v>
      </c>
      <c r="B78" s="86"/>
      <c r="C78" s="84">
        <v>5600</v>
      </c>
      <c r="D78" s="84">
        <v>5600</v>
      </c>
      <c r="E78" s="84">
        <v>5600</v>
      </c>
      <c r="F78" s="84">
        <v>5600</v>
      </c>
      <c r="G78" s="84">
        <v>5600</v>
      </c>
    </row>
    <row r="79" spans="1:36" s="1" customFormat="1" x14ac:dyDescent="0.2">
      <c r="A79" s="27" t="s">
        <v>290</v>
      </c>
      <c r="B79" s="187"/>
      <c r="C79" s="77">
        <v>0</v>
      </c>
      <c r="D79" s="38">
        <f>C79</f>
        <v>0</v>
      </c>
      <c r="E79" s="38">
        <f>D79</f>
        <v>0</v>
      </c>
      <c r="F79" s="38">
        <f>E79</f>
        <v>0</v>
      </c>
      <c r="G79" s="38">
        <f>F79</f>
        <v>0</v>
      </c>
    </row>
    <row r="80" spans="1:36" s="1" customFormat="1" x14ac:dyDescent="0.2">
      <c r="A80" s="28" t="s">
        <v>1</v>
      </c>
      <c r="B80" s="29">
        <f>SUM(B66:B78)</f>
        <v>0</v>
      </c>
      <c r="C80" s="29">
        <f>SUM(C66:C79)</f>
        <v>57610</v>
      </c>
      <c r="D80" s="29">
        <f>SUM(D66:D79)-D72-D73</f>
        <v>71150</v>
      </c>
      <c r="E80" s="29">
        <f>SUM(E66:E79)</f>
        <v>39270</v>
      </c>
      <c r="F80" s="29">
        <f>SUM(F66:F79)</f>
        <v>23270</v>
      </c>
      <c r="G80" s="29">
        <f>SUM(G66:G79)</f>
        <v>35270</v>
      </c>
    </row>
    <row r="81" spans="1:14" s="1" customFormat="1" x14ac:dyDescent="0.2">
      <c r="A81" s="23" t="s">
        <v>321</v>
      </c>
      <c r="B81" s="92"/>
      <c r="C81" s="84">
        <v>30000</v>
      </c>
      <c r="D81" s="84">
        <v>30000</v>
      </c>
      <c r="E81" s="84">
        <v>30000</v>
      </c>
      <c r="F81" s="84">
        <v>30000</v>
      </c>
      <c r="G81" s="84">
        <v>30000</v>
      </c>
    </row>
    <row r="82" spans="1:14" s="1" customFormat="1" x14ac:dyDescent="0.2">
      <c r="A82" s="23" t="s">
        <v>322</v>
      </c>
      <c r="B82" s="92"/>
      <c r="C82" s="182">
        <v>0.7</v>
      </c>
      <c r="D82" s="182">
        <v>0.7</v>
      </c>
      <c r="E82" s="182">
        <v>0.7</v>
      </c>
      <c r="F82" s="182">
        <v>0.6</v>
      </c>
      <c r="G82" s="182">
        <v>0.7</v>
      </c>
    </row>
    <row r="83" spans="1:14" x14ac:dyDescent="0.2">
      <c r="A83" s="23" t="s">
        <v>61</v>
      </c>
      <c r="B83" s="92"/>
      <c r="C83" s="92">
        <f>IF($B$35="a",IF(C66+C67+C72+C70+C77&gt;C81,C81,C66+C67+C72+C70+C77),0)</f>
        <v>30000</v>
      </c>
      <c r="D83" s="92">
        <f>IF($B$35="a",IF(D80-D68-D73-D78-D79-D74&gt;D81,D81,D80-D68-D73-D78-D79-D74),0)</f>
        <v>30000</v>
      </c>
      <c r="E83" s="92">
        <f>IF($B$35="a",IF(E80-E67-E68-E73-E78-E79-E74&gt;E81,E81,E80-E67-E68-E73-E78-E79-E74),0)</f>
        <v>30000</v>
      </c>
      <c r="F83" s="92">
        <f>IF($B$35="a",IF(F72&gt;F81,F81,F72),0)</f>
        <v>13000</v>
      </c>
      <c r="G83" s="92">
        <f>IF($B$35="a",IF(G66+G67+G72+G70+G77&gt;G81,G81,G66+G67+G72+G70+G77),0)</f>
        <v>30000</v>
      </c>
      <c r="H83" s="1"/>
      <c r="I83" s="1"/>
      <c r="J83" s="1"/>
      <c r="K83" s="1"/>
      <c r="L83" s="1"/>
      <c r="M83" s="1"/>
      <c r="N83" s="1"/>
    </row>
    <row r="84" spans="1:14" x14ac:dyDescent="0.2">
      <c r="A84" s="23" t="s">
        <v>62</v>
      </c>
      <c r="B84" s="92"/>
      <c r="C84" s="92">
        <f>C83*C82</f>
        <v>21000</v>
      </c>
      <c r="D84" s="92">
        <f t="shared" ref="D84:G84" si="3">D83*D82</f>
        <v>21000</v>
      </c>
      <c r="E84" s="92">
        <f t="shared" si="3"/>
        <v>21000</v>
      </c>
      <c r="F84" s="92">
        <f t="shared" si="3"/>
        <v>7800</v>
      </c>
      <c r="G84" s="92">
        <f t="shared" si="3"/>
        <v>21000</v>
      </c>
      <c r="H84" s="1"/>
    </row>
    <row r="85" spans="1:14" x14ac:dyDescent="0.2">
      <c r="A85" s="23" t="s">
        <v>64</v>
      </c>
      <c r="B85" s="92"/>
      <c r="C85" s="92"/>
      <c r="D85" s="92"/>
      <c r="E85" s="92"/>
      <c r="F85" s="92"/>
      <c r="G85" s="92"/>
    </row>
    <row r="86" spans="1:14" x14ac:dyDescent="0.2">
      <c r="A86" s="23" t="s">
        <v>65</v>
      </c>
      <c r="B86" s="92"/>
      <c r="C86" s="79"/>
      <c r="D86" s="79"/>
      <c r="E86" s="79"/>
      <c r="F86" s="79"/>
      <c r="G86" s="79"/>
    </row>
    <row r="87" spans="1:14" x14ac:dyDescent="0.2">
      <c r="A87" s="34" t="s">
        <v>5</v>
      </c>
      <c r="B87" s="78">
        <f>B84+B85+B86</f>
        <v>0</v>
      </c>
      <c r="C87" s="78">
        <f t="shared" ref="C87:D87" si="4">C84+C85+C86</f>
        <v>21000</v>
      </c>
      <c r="D87" s="78">
        <f t="shared" si="4"/>
        <v>21000</v>
      </c>
      <c r="E87" s="78">
        <f t="shared" ref="E87:G87" si="5">E84+E85+E86</f>
        <v>21000</v>
      </c>
      <c r="F87" s="78">
        <f t="shared" si="5"/>
        <v>7800</v>
      </c>
      <c r="G87" s="78">
        <f t="shared" si="5"/>
        <v>21000</v>
      </c>
    </row>
    <row r="88" spans="1:14" x14ac:dyDescent="0.2">
      <c r="A88" s="21" t="s">
        <v>13</v>
      </c>
      <c r="B88" s="22">
        <f t="shared" ref="B88" si="6">B80-B87</f>
        <v>0</v>
      </c>
      <c r="C88" s="22">
        <f t="shared" ref="C88:D88" si="7">C80-C87</f>
        <v>36610</v>
      </c>
      <c r="D88" s="22">
        <f t="shared" si="7"/>
        <v>50150</v>
      </c>
      <c r="E88" s="22">
        <f t="shared" ref="E88:G88" si="8">E80-E87</f>
        <v>18270</v>
      </c>
      <c r="F88" s="22">
        <f t="shared" si="8"/>
        <v>15470</v>
      </c>
      <c r="G88" s="22">
        <f t="shared" si="8"/>
        <v>14270</v>
      </c>
    </row>
    <row r="89" spans="1:14" x14ac:dyDescent="0.2">
      <c r="A89" s="28" t="s">
        <v>45</v>
      </c>
      <c r="B89" s="29">
        <v>0</v>
      </c>
      <c r="C89" s="92">
        <f>C88-$B$88</f>
        <v>36610</v>
      </c>
      <c r="D89" s="92">
        <f>D88-$B$88</f>
        <v>50150</v>
      </c>
      <c r="E89" s="92">
        <f>E88-$B$88</f>
        <v>18270</v>
      </c>
      <c r="F89" s="92">
        <f>F88-$B$88</f>
        <v>15470</v>
      </c>
      <c r="G89" s="92">
        <f>G88-$B$88</f>
        <v>14270</v>
      </c>
    </row>
    <row r="90" spans="1:14" x14ac:dyDescent="0.2">
      <c r="A90" s="23" t="s">
        <v>66</v>
      </c>
      <c r="B90" s="35">
        <f>10*ROUND((B6*10.6+B7+B8*E16+B9*E17+B10-B11)*B13/10,0)</f>
        <v>17520</v>
      </c>
      <c r="C90" s="124">
        <f>B90-$B$31</f>
        <v>17520</v>
      </c>
      <c r="D90" s="124">
        <f t="shared" ref="D90:F91" si="9">C90</f>
        <v>17520</v>
      </c>
      <c r="E90" s="124">
        <f t="shared" si="9"/>
        <v>17520</v>
      </c>
      <c r="F90" s="124">
        <f t="shared" si="9"/>
        <v>17520</v>
      </c>
      <c r="G90" s="124">
        <f>F90</f>
        <v>17520</v>
      </c>
    </row>
    <row r="91" spans="1:14" x14ac:dyDescent="0.2">
      <c r="A91" s="34" t="s">
        <v>67</v>
      </c>
      <c r="B91" s="35">
        <f>B11-B12</f>
        <v>1600</v>
      </c>
      <c r="C91" s="37">
        <f>B91-$B$32</f>
        <v>1600</v>
      </c>
      <c r="D91" s="37">
        <f t="shared" si="9"/>
        <v>1600</v>
      </c>
      <c r="E91" s="37">
        <f t="shared" si="9"/>
        <v>1600</v>
      </c>
      <c r="F91" s="37">
        <f t="shared" si="9"/>
        <v>1600</v>
      </c>
      <c r="G91" s="37">
        <f>F91</f>
        <v>1600</v>
      </c>
    </row>
    <row r="92" spans="1:14" x14ac:dyDescent="0.2">
      <c r="A92" s="82" t="s">
        <v>195</v>
      </c>
      <c r="B92" s="35"/>
      <c r="C92" s="37">
        <f>Berechnung!C171</f>
        <v>2150</v>
      </c>
      <c r="D92" s="37">
        <f>10*ROUND((D90+D91)/(10*D48),0)</f>
        <v>4250</v>
      </c>
      <c r="E92" s="37">
        <v>0</v>
      </c>
      <c r="F92" s="37">
        <v>0</v>
      </c>
      <c r="G92" s="37">
        <f>Berechnung!I171</f>
        <v>4780</v>
      </c>
    </row>
    <row r="93" spans="1:14" x14ac:dyDescent="0.2">
      <c r="A93" s="82" t="s">
        <v>210</v>
      </c>
      <c r="B93" s="35"/>
      <c r="C93" s="151">
        <f>10*ROUND($B$23*C61*C62*C63*0.88/10,0)</f>
        <v>900</v>
      </c>
      <c r="D93" s="151">
        <f>10*ROUND($B$23*D61*D62*D63*0.88/10,0)</f>
        <v>900</v>
      </c>
      <c r="E93" s="151">
        <f>10*ROUND($B$23*E61*E62*E63*0.88/10,0)</f>
        <v>900</v>
      </c>
      <c r="F93" s="151">
        <f>10*ROUND($B$23*F61*F62*F63*0.88/10,0)</f>
        <v>900</v>
      </c>
      <c r="G93" s="151">
        <f>10*ROUND($B$23*G61*G62*G63*0.88/10,0)</f>
        <v>900</v>
      </c>
    </row>
    <row r="94" spans="1:14" x14ac:dyDescent="0.2">
      <c r="A94" s="82" t="s">
        <v>211</v>
      </c>
      <c r="B94" s="35"/>
      <c r="C94" s="37">
        <f>10*ROUND(C58*C93/10,0)</f>
        <v>3600</v>
      </c>
      <c r="D94" s="37">
        <f>10*ROUND((D56*D93*1.1+D58*D93)/10,0)</f>
        <v>5740</v>
      </c>
      <c r="E94" s="37">
        <f>10*ROUND(E58*E93/10,0)</f>
        <v>3600</v>
      </c>
      <c r="F94" s="37">
        <f>10*ROUND((F58*F93)/10,0)</f>
        <v>3600</v>
      </c>
      <c r="G94" s="37">
        <f>10*ROUND(G58*G93/10,0)</f>
        <v>3600</v>
      </c>
    </row>
    <row r="95" spans="1:14" x14ac:dyDescent="0.2">
      <c r="A95" s="82" t="s">
        <v>213</v>
      </c>
      <c r="B95" s="35"/>
      <c r="C95" s="37">
        <f>Berechnung!C101</f>
        <v>370</v>
      </c>
      <c r="D95" s="37">
        <f>IF(Berechnung!D101+D96&gt;D94,D94-D96,Berechnung!D101)</f>
        <v>810</v>
      </c>
      <c r="E95" s="37">
        <f>Berechnung!H101</f>
        <v>0</v>
      </c>
      <c r="F95" s="37">
        <f>Berechnung!I101</f>
        <v>0</v>
      </c>
      <c r="G95" s="37">
        <f>Berechnung!G101</f>
        <v>830</v>
      </c>
    </row>
    <row r="96" spans="1:14" x14ac:dyDescent="0.2">
      <c r="A96" s="82" t="s">
        <v>212</v>
      </c>
      <c r="B96" s="35"/>
      <c r="C96" s="37">
        <f>Berechnung!C102</f>
        <v>2070</v>
      </c>
      <c r="D96" s="37">
        <f>Berechnung!D102</f>
        <v>2280</v>
      </c>
      <c r="E96" s="37">
        <f>Berechnung!E102</f>
        <v>2070</v>
      </c>
      <c r="F96" s="37">
        <f>Berechnung!F102</f>
        <v>2070</v>
      </c>
      <c r="G96" s="37">
        <f>Berechnung!G102</f>
        <v>2070</v>
      </c>
    </row>
    <row r="97" spans="1:7" x14ac:dyDescent="0.2">
      <c r="A97" s="82" t="s">
        <v>96</v>
      </c>
      <c r="B97" s="35"/>
      <c r="C97" s="37">
        <v>0</v>
      </c>
      <c r="D97" s="37">
        <v>0</v>
      </c>
      <c r="E97" s="37">
        <v>0</v>
      </c>
      <c r="F97" s="101">
        <f>IF($B$6&gt;0,10*ROUND((10.6*$B$6-$B$31-$B$32-Berechnung!B181*10.6*$B$6/($B$105-$B$102))/10,0),0)</f>
        <v>16500</v>
      </c>
      <c r="G97" s="37">
        <v>0</v>
      </c>
    </row>
    <row r="98" spans="1:7" x14ac:dyDescent="0.2">
      <c r="A98" s="36" t="s">
        <v>79</v>
      </c>
      <c r="B98" s="35"/>
      <c r="C98" s="37">
        <v>0</v>
      </c>
      <c r="D98" s="37">
        <v>0</v>
      </c>
      <c r="E98" s="37">
        <v>0</v>
      </c>
      <c r="F98" s="101">
        <f>IF($B$7&gt;0,10*ROUND(($B$7--$B$31-$B$32-Berechnung!B181*$B$7/($B$105-$B$102))/10,0),0)</f>
        <v>0</v>
      </c>
      <c r="G98" s="37">
        <v>0</v>
      </c>
    </row>
    <row r="99" spans="1:7" x14ac:dyDescent="0.2">
      <c r="A99" s="36" t="s">
        <v>97</v>
      </c>
      <c r="B99" s="35"/>
      <c r="C99" s="37">
        <v>0</v>
      </c>
      <c r="D99" s="37">
        <v>0</v>
      </c>
      <c r="E99" s="37">
        <f>Berechnung!B188</f>
        <v>18370</v>
      </c>
      <c r="F99" s="37">
        <f>IF($B$8&gt;0,10*ROUND(($E$16*$B$8-$B$31-$B$32--Berechnung!B181*$E$16*$B$8/($B$105-$B$102))/10,0),0)+Berechnung!B182</f>
        <v>6280</v>
      </c>
      <c r="G99" s="37">
        <v>0</v>
      </c>
    </row>
    <row r="100" spans="1:7" x14ac:dyDescent="0.2">
      <c r="A100" s="36" t="s">
        <v>98</v>
      </c>
      <c r="B100" s="35"/>
      <c r="C100" s="37">
        <v>0</v>
      </c>
      <c r="D100" s="37">
        <v>0</v>
      </c>
      <c r="E100" s="37">
        <v>0</v>
      </c>
      <c r="F100" s="101">
        <f>IF($B$9&gt;0,10*ROUND(($E$17*$B$9--$B$31-$B$32-Berechnung!B181*$E$17*$B$9/($B$105-$B$102))/10,0),0)</f>
        <v>0</v>
      </c>
      <c r="G100" s="37">
        <v>0</v>
      </c>
    </row>
    <row r="101" spans="1:7" x14ac:dyDescent="0.2">
      <c r="A101" s="36" t="s">
        <v>99</v>
      </c>
      <c r="B101" s="35"/>
      <c r="C101" s="37">
        <v>0</v>
      </c>
      <c r="D101" s="37">
        <v>0</v>
      </c>
      <c r="E101" s="37">
        <v>0</v>
      </c>
      <c r="F101" s="101">
        <f>IF($B$10&gt;0,10*ROUND(($B$10--$B$31-$B$32-Berechnung!B181*$B$10/($B$105-$B$102))/10,0),0)</f>
        <v>0</v>
      </c>
      <c r="G101" s="37">
        <v>0</v>
      </c>
    </row>
    <row r="102" spans="1:7" x14ac:dyDescent="0.2">
      <c r="A102" s="36" t="s">
        <v>44</v>
      </c>
      <c r="B102" s="37">
        <f>B30</f>
        <v>4000</v>
      </c>
      <c r="C102" s="37">
        <f>$B$102-$B$33-C96</f>
        <v>1930</v>
      </c>
      <c r="D102" s="37">
        <f>$B$102-$B$33-D96</f>
        <v>1720</v>
      </c>
      <c r="E102" s="37">
        <f>$B$102-$B$33-E96</f>
        <v>1930</v>
      </c>
      <c r="F102" s="37">
        <f>$B$102-$B$33-F96</f>
        <v>1930</v>
      </c>
      <c r="G102" s="37">
        <f>$B$102-$B$33-G96</f>
        <v>1930</v>
      </c>
    </row>
    <row r="103" spans="1:7" x14ac:dyDescent="0.2">
      <c r="A103" s="36" t="s">
        <v>214</v>
      </c>
      <c r="B103" s="37"/>
      <c r="C103" s="37">
        <f t="shared" ref="C103:D103" si="10">C92-C95</f>
        <v>1780</v>
      </c>
      <c r="D103" s="37">
        <f t="shared" si="10"/>
        <v>3440</v>
      </c>
      <c r="E103" s="37">
        <f t="shared" ref="E103:G103" si="11">E92-E95</f>
        <v>0</v>
      </c>
      <c r="F103" s="37">
        <f t="shared" si="11"/>
        <v>0</v>
      </c>
      <c r="G103" s="37">
        <f t="shared" si="11"/>
        <v>3950</v>
      </c>
    </row>
    <row r="104" spans="1:7" x14ac:dyDescent="0.2">
      <c r="A104" s="36" t="s">
        <v>217</v>
      </c>
      <c r="B104" s="37"/>
      <c r="C104" s="37">
        <f>Berechnung!C103</f>
        <v>930</v>
      </c>
      <c r="D104" s="37">
        <f>D94-D95-D96</f>
        <v>2650</v>
      </c>
      <c r="E104" s="37">
        <f>Berechnung!E103</f>
        <v>1300</v>
      </c>
      <c r="F104" s="37">
        <f>Berechnung!F103</f>
        <v>1300</v>
      </c>
      <c r="G104" s="37">
        <f>Berechnung!G103</f>
        <v>470</v>
      </c>
    </row>
    <row r="105" spans="1:7" x14ac:dyDescent="0.2">
      <c r="A105" s="36" t="s">
        <v>18</v>
      </c>
      <c r="B105" s="37">
        <f>10*ROUND((B6*10.6+B7+B8*$E$16+B9*$E$17+B10+B102)/10,0)</f>
        <v>30500</v>
      </c>
      <c r="C105" s="37">
        <f t="shared" ref="C105:D105" si="12">10*ROUND((SUM(C97:C103)-C104)/10,0)</f>
        <v>2780</v>
      </c>
      <c r="D105" s="37">
        <f t="shared" si="12"/>
        <v>2510</v>
      </c>
      <c r="E105" s="37">
        <f t="shared" ref="E105:F105" si="13">10*ROUND((SUM(E97:E103)-E104)/10,0)</f>
        <v>19000</v>
      </c>
      <c r="F105" s="37">
        <f t="shared" si="13"/>
        <v>23410</v>
      </c>
      <c r="G105" s="37">
        <f t="shared" ref="G105" si="14">10*ROUND((SUM(G97:G103)-G104)/10,0)</f>
        <v>5410</v>
      </c>
    </row>
    <row r="106" spans="1:7" x14ac:dyDescent="0.2">
      <c r="A106" s="36" t="s">
        <v>41</v>
      </c>
      <c r="B106" s="38">
        <f>10*ROUND((B6*$B$14+B7*$B$15/100+B8*$B$16+B9*$B$17+B10*$B$19/100+B102*$B$18/100)/10,0)</f>
        <v>5100</v>
      </c>
      <c r="C106" s="38">
        <f>10*ROUND((C97*$B$14/10.6+C98*$B$15/100+C99*$G$16/100+C100*$G$17/100+C101*$B$19/100+C102*$B$18/100+C103*$B$20/100)/10,0)</f>
        <v>1270</v>
      </c>
      <c r="D106" s="38">
        <f t="shared" ref="D106:F106" si="15">10*ROUND((D97*$B$14/10.6+D98*$B$15/100+D99*$G$16/100+D100*$G$17/100+D101*$B$19/100+D102*$B$18/100+D103*$B$20/100)/10,0)</f>
        <v>1650</v>
      </c>
      <c r="E106" s="38">
        <f>10*ROUND((E97*$B$14/10.6+E98*$B$15/100+E99*$G$16/100+E100*$G$17/100+E101*$B$19/100+E102*$B$18/100+E103*$B$20/100)/10,0)</f>
        <v>1750</v>
      </c>
      <c r="F106" s="38">
        <f t="shared" si="15"/>
        <v>3290</v>
      </c>
      <c r="G106" s="38">
        <f>10*ROUND((G97*$B$14/10.6+G98*$B$15/100+G99*$G$16/100+G100*$G$17/100+G101*$B$19/100+G102*$B$18/100+G103*$B$20/100)/10,0)</f>
        <v>1880</v>
      </c>
    </row>
    <row r="107" spans="1:7" x14ac:dyDescent="0.2">
      <c r="A107" s="36" t="s">
        <v>218</v>
      </c>
      <c r="B107" s="36"/>
      <c r="C107" s="38">
        <f>10*ROUND(C104*C60/1000,0)</f>
        <v>80</v>
      </c>
      <c r="D107" s="38">
        <f>10*ROUND(D104*D60/1000,0)</f>
        <v>220</v>
      </c>
      <c r="E107" s="38">
        <f>10*ROUND(E104*E60/1000,0)</f>
        <v>110</v>
      </c>
      <c r="F107" s="38">
        <f>10*ROUND(F104*F60/1000,0)</f>
        <v>110</v>
      </c>
      <c r="G107" s="38">
        <f>10*ROUND(G104*G60/1000,0)</f>
        <v>40</v>
      </c>
    </row>
    <row r="108" spans="1:7" x14ac:dyDescent="0.2">
      <c r="A108" s="21" t="s">
        <v>42</v>
      </c>
      <c r="B108" s="77">
        <v>200</v>
      </c>
      <c r="C108" s="38">
        <f>ROUNDDOWN((C58/2),0)*10+150+10*ROUND($B$34*(C66+C72)/1000,0)</f>
        <v>330</v>
      </c>
      <c r="D108" s="38">
        <f>ROUNDDOWN(((D56+D58)/2),0)*10+150+10*ROUND($B$34*(D66+D72)/1000,0)</f>
        <v>460</v>
      </c>
      <c r="E108" s="38">
        <f>ROUNDDOWN((E58/2),0)*10+150+10*ROUND($B$34*(2*E66+E72)/1000,0)</f>
        <v>380</v>
      </c>
      <c r="F108" s="38">
        <f>ROUNDDOWN((F58/2),0)*10+150+10*ROUND($B$34*(F66+F72)/1000,0)</f>
        <v>260</v>
      </c>
      <c r="G108" s="38">
        <f>ROUNDDOWN((G58/2),0)*10+150+10*ROUND($B$34*(G66+G72)/1000,0)</f>
        <v>320</v>
      </c>
    </row>
    <row r="109" spans="1:7" x14ac:dyDescent="0.2">
      <c r="A109" s="21" t="s">
        <v>220</v>
      </c>
      <c r="B109" s="77"/>
      <c r="C109" s="22">
        <f t="shared" ref="C109:D109" si="16">10*ROUND(C78/400,0)</f>
        <v>140</v>
      </c>
      <c r="D109" s="22">
        <f t="shared" si="16"/>
        <v>140</v>
      </c>
      <c r="E109" s="22">
        <f t="shared" ref="E109:G109" si="17">10*ROUND(E78/400,0)</f>
        <v>140</v>
      </c>
      <c r="F109" s="22">
        <f t="shared" si="17"/>
        <v>140</v>
      </c>
      <c r="G109" s="22">
        <f t="shared" si="17"/>
        <v>140</v>
      </c>
    </row>
    <row r="110" spans="1:7" x14ac:dyDescent="0.2">
      <c r="A110" s="39" t="s">
        <v>219</v>
      </c>
      <c r="B110" s="77"/>
      <c r="C110" s="77"/>
      <c r="D110" s="77"/>
      <c r="E110" s="77"/>
      <c r="F110" s="77"/>
      <c r="G110" s="77"/>
    </row>
    <row r="111" spans="1:7" x14ac:dyDescent="0.2">
      <c r="A111" s="39" t="s">
        <v>43</v>
      </c>
      <c r="B111" s="40">
        <f t="shared" ref="B111" si="18">B106+B108</f>
        <v>5300</v>
      </c>
      <c r="C111" s="40">
        <f t="shared" ref="C111:D111" si="19">C106+C108+C110-C107+C109</f>
        <v>1660</v>
      </c>
      <c r="D111" s="40">
        <f t="shared" si="19"/>
        <v>2030</v>
      </c>
      <c r="E111" s="40">
        <f t="shared" ref="E111:G111" si="20">E106+E108+E110-E107+E109</f>
        <v>2160</v>
      </c>
      <c r="F111" s="40">
        <f t="shared" si="20"/>
        <v>3580</v>
      </c>
      <c r="G111" s="40">
        <f t="shared" si="20"/>
        <v>2300</v>
      </c>
    </row>
    <row r="112" spans="1:7" x14ac:dyDescent="0.2">
      <c r="A112" s="28" t="s">
        <v>2</v>
      </c>
      <c r="B112" s="41">
        <v>0</v>
      </c>
      <c r="C112" s="41">
        <f>-C89-20*(C111-$B$111)</f>
        <v>36190</v>
      </c>
      <c r="D112" s="41">
        <f>-D89-20*(D111-$B$111)</f>
        <v>15250</v>
      </c>
      <c r="E112" s="41">
        <f>-E89-20*(E111-$B$111)</f>
        <v>44530</v>
      </c>
      <c r="F112" s="41">
        <f>-F89-20*(F111-$B$111)</f>
        <v>18930</v>
      </c>
      <c r="G112" s="41">
        <f>-G89-20*(G111-$B$111)</f>
        <v>45730</v>
      </c>
    </row>
    <row r="113" spans="1:16" x14ac:dyDescent="0.2">
      <c r="A113" s="28" t="s">
        <v>16</v>
      </c>
      <c r="B113" s="80"/>
      <c r="C113" s="43">
        <f>IF((($B$111-C111)=0),IF((C89&lt;=0),"sofort","nie"),IF((C89/($B$111-C111)&lt;=0),IF((C89&lt;=0),"sofort","nie"),C89/($B$111-C111)))</f>
        <v>10.057692307692308</v>
      </c>
      <c r="D113" s="43">
        <f>IF((($B$111-D111)=0),IF((D89&lt;=0),"sofort","nie"),IF((D89/($B$111-D111)&lt;=0),IF((D89&lt;=0),"sofort","nie"),D89/($B$111-D111)))</f>
        <v>15.336391437308869</v>
      </c>
      <c r="E113" s="43">
        <f>IF((($B$111-E111)=0),IF((E89&lt;=0),"sofort","nie"),IF((E89/($B$111-E111)&lt;=0),IF((E89&lt;=0),"sofort","nie"),E89/($B$111-E111)))</f>
        <v>5.8184713375796182</v>
      </c>
      <c r="F113" s="43">
        <f>IF((($B$111-F111)=0),IF((F89&lt;=0),"sofort","nie"),IF((F89/($B$111-F111)&lt;=0),IF((F89&lt;=0),"sofort","nie"),F89/($B$111-F111)))</f>
        <v>8.9941860465116275</v>
      </c>
      <c r="G113" s="43">
        <f>IF((($B$111-G111)=0),IF((G89&lt;=0),"sofort","nie"),IF((G89/($B$111-G111)&lt;=0),IF((G89&lt;=0),"sofort","nie"),G89/($B$111-G111)))</f>
        <v>4.7566666666666668</v>
      </c>
    </row>
    <row r="114" spans="1:16" x14ac:dyDescent="0.2">
      <c r="A114" s="28" t="s">
        <v>17</v>
      </c>
      <c r="B114" s="44">
        <f>ROUND((B6*10.6*$K$12+B7*$K$13+B8*$E$16*$K$15+B9*$E$17*$K$16+B10*$K$14+B102*$K$14)/1000,1)</f>
        <v>10.5</v>
      </c>
      <c r="C114" s="44">
        <f t="shared" ref="C114:D114" si="21">ROUND((C97*$K$12+C98*$K$13+C99*$K$15+C100*$K$16+C101*$K$14+(C102+C103-C104)*$K$14)/1000,1)</f>
        <v>1.6</v>
      </c>
      <c r="D114" s="44">
        <f t="shared" si="21"/>
        <v>1.4</v>
      </c>
      <c r="E114" s="44">
        <f t="shared" ref="E114:G114" si="22">ROUND((E97*$K$12+E98*$K$13+E99*$K$15+E100*$K$16+E101*$K$14+(E102+E103-E104)*$K$14)/1000,1)</f>
        <v>0.7</v>
      </c>
      <c r="F114" s="44">
        <f t="shared" si="22"/>
        <v>5.6</v>
      </c>
      <c r="G114" s="44">
        <f t="shared" si="22"/>
        <v>3</v>
      </c>
    </row>
    <row r="115" spans="1:16" x14ac:dyDescent="0.2">
      <c r="A115" s="28" t="s">
        <v>3</v>
      </c>
      <c r="B115" s="45">
        <v>0</v>
      </c>
      <c r="C115" s="114">
        <f>ROUND(100*($B$105-$B$102-SUM(C97:C101)-C103)/($B$105-$B$102),1)/100</f>
        <v>0.93299999999999994</v>
      </c>
      <c r="D115" s="114">
        <f>ROUND(100*($B$105-$B$102-SUM(D97:D101)-D103)/($B$105-$B$102),1)/100</f>
        <v>0.87</v>
      </c>
      <c r="E115" s="114">
        <f t="shared" ref="E115:F115" si="23">ROUND(100*($B$105-$B$102-SUM(E97:E101)-E103)/($B$105-$B$102),1)/100</f>
        <v>0.307</v>
      </c>
      <c r="F115" s="114">
        <f t="shared" si="23"/>
        <v>0.14000000000000001</v>
      </c>
      <c r="G115" s="114">
        <f>ROUND(100*($B$105-$B$102-SUM(G97:G101)-G103)/($B$105-$B$102),1)/100</f>
        <v>0.85099999999999998</v>
      </c>
    </row>
    <row r="116" spans="1:16" x14ac:dyDescent="0.2">
      <c r="A116" s="28" t="s">
        <v>4</v>
      </c>
      <c r="B116" s="45">
        <v>0</v>
      </c>
      <c r="C116" s="114">
        <f>ROUND(100*($B$102-C102)/$B$102,1)/100</f>
        <v>0.51800000000000002</v>
      </c>
      <c r="D116" s="114">
        <f>ROUND(100*($B$102-D102)/$B$102,1)/100</f>
        <v>0.56999999999999995</v>
      </c>
      <c r="E116" s="114">
        <f>ROUND(100*($B$102-E102)/$B$102,1)/100</f>
        <v>0.51800000000000002</v>
      </c>
      <c r="F116" s="114">
        <f>ROUND(100*($B$102-F102)/$B$102,1)/100</f>
        <v>0.51800000000000002</v>
      </c>
      <c r="G116" s="114">
        <f>ROUND(100*($B$102-G102)/$B$102,1)/100</f>
        <v>0.51800000000000002</v>
      </c>
    </row>
    <row r="117" spans="1:16" x14ac:dyDescent="0.2">
      <c r="A117" s="28" t="s">
        <v>325</v>
      </c>
      <c r="B117" s="45">
        <v>0</v>
      </c>
      <c r="C117" s="114">
        <f>ROUND(100*($B$105-C105)/$B$105,1)/100</f>
        <v>0.90900000000000003</v>
      </c>
      <c r="D117" s="114">
        <f t="shared" ref="D117:G117" si="24">ROUND(100*($B$105-D105)/$B$105,1)/100</f>
        <v>0.91799999999999993</v>
      </c>
      <c r="E117" s="114">
        <f t="shared" si="24"/>
        <v>0.377</v>
      </c>
      <c r="F117" s="114">
        <f>ROUND(100*($B$105-F105)/$B$105,1)/100</f>
        <v>0.23199999999999998</v>
      </c>
      <c r="G117" s="114">
        <f t="shared" si="24"/>
        <v>0.82299999999999995</v>
      </c>
    </row>
    <row r="118" spans="1:16" x14ac:dyDescent="0.2">
      <c r="A118" s="28" t="s">
        <v>324</v>
      </c>
      <c r="B118" s="45">
        <v>0</v>
      </c>
      <c r="C118" s="114">
        <f>ROUND(100*($B$105-C105+C99)/$B$105,1)/100</f>
        <v>0.90900000000000003</v>
      </c>
      <c r="D118" s="114">
        <f t="shared" ref="D118:G118" si="25">ROUND(100*($B$105-D105+D99)/$B$105,1)/100</f>
        <v>0.91799999999999993</v>
      </c>
      <c r="E118" s="114">
        <f t="shared" si="25"/>
        <v>0.97900000000000009</v>
      </c>
      <c r="F118" s="114">
        <f t="shared" si="25"/>
        <v>0.43799999999999994</v>
      </c>
      <c r="G118" s="114">
        <f t="shared" si="25"/>
        <v>0.82299999999999995</v>
      </c>
    </row>
    <row r="119" spans="1:16" x14ac:dyDescent="0.2">
      <c r="A119" s="202" t="s">
        <v>334</v>
      </c>
      <c r="B119" s="127">
        <f>B105/$B$29</f>
        <v>254.16666666666666</v>
      </c>
      <c r="C119" s="127">
        <f t="shared" ref="C119:G119" si="26">C105/$B$29</f>
        <v>23.166666666666668</v>
      </c>
      <c r="D119" s="127">
        <f t="shared" si="26"/>
        <v>20.916666666666668</v>
      </c>
      <c r="E119" s="127">
        <f t="shared" si="26"/>
        <v>158.33333333333334</v>
      </c>
      <c r="F119" s="127">
        <f t="shared" si="26"/>
        <v>195.08333333333334</v>
      </c>
      <c r="G119" s="127">
        <f t="shared" si="26"/>
        <v>45.083333333333336</v>
      </c>
    </row>
    <row r="120" spans="1:16" x14ac:dyDescent="0.2">
      <c r="A120" s="1"/>
      <c r="B120" s="4"/>
      <c r="C120" s="4"/>
      <c r="D120" s="4"/>
      <c r="E120" s="4"/>
      <c r="F120" s="4"/>
      <c r="G120" s="4"/>
      <c r="H120" s="4"/>
    </row>
    <row r="121" spans="1:16" x14ac:dyDescent="0.2">
      <c r="D121" s="6"/>
      <c r="E121" s="6"/>
      <c r="F121" s="6"/>
      <c r="G121" s="6"/>
      <c r="H121" s="6"/>
      <c r="L121" s="3"/>
    </row>
    <row r="122" spans="1:16" x14ac:dyDescent="0.2">
      <c r="B122" s="57"/>
      <c r="C122" s="48" t="s">
        <v>46</v>
      </c>
      <c r="D122" s="48"/>
      <c r="E122" s="48"/>
      <c r="F122" s="58"/>
      <c r="G122" s="59" t="s">
        <v>47</v>
      </c>
      <c r="H122" s="48"/>
      <c r="I122" s="49"/>
    </row>
    <row r="123" spans="1:16" x14ac:dyDescent="0.2">
      <c r="B123" s="60"/>
      <c r="C123" t="s">
        <v>48</v>
      </c>
      <c r="F123" s="61"/>
      <c r="G123" t="s">
        <v>49</v>
      </c>
      <c r="I123" s="52"/>
    </row>
    <row r="124" spans="1:16" x14ac:dyDescent="0.2">
      <c r="B124" s="62"/>
      <c r="C124" t="s">
        <v>50</v>
      </c>
      <c r="F124" s="63"/>
      <c r="G124" t="s">
        <v>51</v>
      </c>
      <c r="I124" s="52"/>
    </row>
    <row r="125" spans="1:16" x14ac:dyDescent="0.2">
      <c r="B125" s="64"/>
      <c r="C125" s="55" t="s">
        <v>52</v>
      </c>
      <c r="D125" s="55"/>
      <c r="E125" s="55"/>
      <c r="F125" s="55"/>
      <c r="G125" s="55"/>
      <c r="H125" s="55"/>
      <c r="I125" s="56"/>
    </row>
    <row r="126" spans="1:16" x14ac:dyDescent="0.2">
      <c r="P126" s="99"/>
    </row>
    <row r="127" spans="1:16" x14ac:dyDescent="0.2">
      <c r="B127" s="107"/>
      <c r="C127" s="47" t="s">
        <v>60</v>
      </c>
      <c r="D127" s="48"/>
      <c r="E127" s="48"/>
      <c r="F127" s="49"/>
    </row>
    <row r="128" spans="1:16" x14ac:dyDescent="0.2">
      <c r="B128" s="50" t="s">
        <v>56</v>
      </c>
      <c r="C128" s="51" t="s">
        <v>58</v>
      </c>
      <c r="F128" s="52"/>
    </row>
    <row r="129" spans="2:6" x14ac:dyDescent="0.2">
      <c r="B129" s="53" t="s">
        <v>57</v>
      </c>
      <c r="C129" s="54" t="s">
        <v>59</v>
      </c>
      <c r="D129" s="55"/>
      <c r="E129" s="55"/>
      <c r="F129" s="56"/>
    </row>
    <row r="131" spans="2:6" x14ac:dyDescent="0.2">
      <c r="B131" t="s">
        <v>335</v>
      </c>
    </row>
    <row r="133" spans="2:6" x14ac:dyDescent="0.2">
      <c r="B133" s="204" t="s">
        <v>336</v>
      </c>
      <c r="C133" s="205" t="s">
        <v>336</v>
      </c>
      <c r="D133" s="206" t="s">
        <v>337</v>
      </c>
      <c r="E133" s="207" t="s">
        <v>337</v>
      </c>
      <c r="F133" s="208" t="s">
        <v>338</v>
      </c>
    </row>
    <row r="134" spans="2:6" x14ac:dyDescent="0.2">
      <c r="B134" s="201"/>
      <c r="C134" s="205" t="s">
        <v>339</v>
      </c>
      <c r="D134" s="206"/>
      <c r="E134" s="207" t="s">
        <v>340</v>
      </c>
      <c r="F134" s="203"/>
    </row>
  </sheetData>
  <sheetProtection algorithmName="SHA-512" hashValue="N00+y8xnZJy2PsauOnQUjum+CbN2PuLWIJD5ujj0WmCJT+mqrNEsw1I7ZAfJhtH/ETa6Sl0BsCCJWnX0fRpLLg==" saltValue="tgZI6gp2jrh2y2YNWX4U5g==" spinCount="100000" sheet="1" objects="1" scenarios="1" selectLockedCells="1"/>
  <phoneticPr fontId="13" type="noConversion"/>
  <conditionalFormatting sqref="B6:B12">
    <cfRule type="cellIs" dxfId="33" priority="134" stopIfTrue="1" operator="notBetween">
      <formula>0</formula>
      <formula>100000</formula>
    </cfRule>
  </conditionalFormatting>
  <conditionalFormatting sqref="B13">
    <cfRule type="cellIs" dxfId="32" priority="24" operator="notBetween">
      <formula>0.5</formula>
      <formula>1</formula>
    </cfRule>
  </conditionalFormatting>
  <conditionalFormatting sqref="B14">
    <cfRule type="cellIs" dxfId="31" priority="61" stopIfTrue="1" operator="notBetween">
      <formula>0</formula>
      <formula>10</formula>
    </cfRule>
  </conditionalFormatting>
  <conditionalFormatting sqref="B15">
    <cfRule type="cellIs" dxfId="30" priority="29" operator="notBetween">
      <formula>3</formula>
      <formula>100</formula>
    </cfRule>
  </conditionalFormatting>
  <conditionalFormatting sqref="B16">
    <cfRule type="cellIs" dxfId="29" priority="22" stopIfTrue="1" operator="notBetween">
      <formula>10</formula>
      <formula>1000</formula>
    </cfRule>
  </conditionalFormatting>
  <conditionalFormatting sqref="B17">
    <cfRule type="cellIs" dxfId="28" priority="21" stopIfTrue="1" operator="notBetween">
      <formula>150</formula>
      <formula>1000</formula>
    </cfRule>
  </conditionalFormatting>
  <conditionalFormatting sqref="B19:B20">
    <cfRule type="cellIs" dxfId="27" priority="17" operator="notBetween">
      <formula>10</formula>
      <formula>100</formula>
    </cfRule>
  </conditionalFormatting>
  <conditionalFormatting sqref="B21:B22">
    <cfRule type="cellIs" dxfId="26" priority="14" stopIfTrue="1" operator="notBetween">
      <formula>0</formula>
      <formula>100</formula>
    </cfRule>
  </conditionalFormatting>
  <conditionalFormatting sqref="B25:B27">
    <cfRule type="cellIs" dxfId="25" priority="93" stopIfTrue="1" operator="notBetween">
      <formula>0</formula>
      <formula>1000</formula>
    </cfRule>
  </conditionalFormatting>
  <conditionalFormatting sqref="B28">
    <cfRule type="cellIs" dxfId="24" priority="12" operator="notBetween">
      <formula>0</formula>
      <formula>2000</formula>
    </cfRule>
  </conditionalFormatting>
  <conditionalFormatting sqref="B29">
    <cfRule type="cellIs" dxfId="0" priority="9" operator="notBetween">
      <formula>10</formula>
      <formula>1000</formula>
    </cfRule>
  </conditionalFormatting>
  <conditionalFormatting sqref="B30">
    <cfRule type="cellIs" dxfId="23" priority="92" stopIfTrue="1" operator="notBetween">
      <formula>1000</formula>
      <formula>10000</formula>
    </cfRule>
  </conditionalFormatting>
  <conditionalFormatting sqref="B31:B33">
    <cfRule type="cellIs" dxfId="22" priority="11" operator="notBetween">
      <formula>0</formula>
      <formula>300000</formula>
    </cfRule>
  </conditionalFormatting>
  <conditionalFormatting sqref="B34">
    <cfRule type="cellIs" dxfId="21" priority="10" operator="notBetween">
      <formula>0</formula>
      <formula>10</formula>
    </cfRule>
  </conditionalFormatting>
  <conditionalFormatting sqref="B127">
    <cfRule type="cellIs" dxfId="20" priority="27" stopIfTrue="1" operator="notBetween">
      <formula>60</formula>
      <formula>140</formula>
    </cfRule>
  </conditionalFormatting>
  <conditionalFormatting sqref="B89:G89">
    <cfRule type="cellIs" dxfId="19" priority="32" operator="lessThan">
      <formula>0</formula>
    </cfRule>
    <cfRule type="cellIs" dxfId="18" priority="33" stopIfTrue="1" operator="lessThanOrEqual">
      <formula>5000</formula>
    </cfRule>
  </conditionalFormatting>
  <conditionalFormatting sqref="B111:G111">
    <cfRule type="cellIs" dxfId="17" priority="102" operator="lessThanOrEqual">
      <formula>1500</formula>
    </cfRule>
    <cfRule type="cellIs" dxfId="16" priority="103" operator="greaterThan">
      <formula>$B$111</formula>
    </cfRule>
  </conditionalFormatting>
  <conditionalFormatting sqref="B112:G112">
    <cfRule type="cellIs" dxfId="15" priority="54" stopIfTrue="1" operator="greaterThanOrEqual">
      <formula>5000</formula>
    </cfRule>
  </conditionalFormatting>
  <conditionalFormatting sqref="B114:G114">
    <cfRule type="cellIs" dxfId="14" priority="108" operator="lessThanOrEqual">
      <formula>2</formula>
    </cfRule>
    <cfRule type="cellIs" dxfId="13" priority="109" operator="greaterThan">
      <formula>$B$114</formula>
    </cfRule>
  </conditionalFormatting>
  <conditionalFormatting sqref="B115:G115 C117:G118">
    <cfRule type="cellIs" dxfId="12" priority="13" stopIfTrue="1" operator="greaterThanOrEqual">
      <formula>0.5</formula>
    </cfRule>
  </conditionalFormatting>
  <conditionalFormatting sqref="B116:G116">
    <cfRule type="cellIs" dxfId="11" priority="45" stopIfTrue="1" operator="greaterThanOrEqual">
      <formula>0.5</formula>
    </cfRule>
  </conditionalFormatting>
  <conditionalFormatting sqref="B119:G119">
    <cfRule type="cellIs" dxfId="10" priority="4" operator="greaterThan">
      <formula>220</formula>
    </cfRule>
    <cfRule type="cellIs" dxfId="9" priority="5" operator="between">
      <formula>180</formula>
      <formula>220</formula>
    </cfRule>
    <cfRule type="cellIs" dxfId="8" priority="6" operator="between">
      <formula>100</formula>
      <formula>180</formula>
    </cfRule>
    <cfRule type="cellIs" dxfId="7" priority="7" operator="between">
      <formula>80</formula>
      <formula>100</formula>
    </cfRule>
    <cfRule type="cellIs" dxfId="6" priority="8" operator="lessThan">
      <formula>80</formula>
    </cfRule>
  </conditionalFormatting>
  <conditionalFormatting sqref="C113:G113">
    <cfRule type="expression" dxfId="5" priority="191">
      <formula>OR(IF(C$89&gt;0,C$113&lt;=10,C$113&gt;30),C$112="sofort")</formula>
    </cfRule>
    <cfRule type="expression" dxfId="4" priority="192" stopIfTrue="1">
      <formula>C$89&lt;0</formula>
    </cfRule>
  </conditionalFormatting>
  <conditionalFormatting sqref="B18">
    <cfRule type="cellIs" dxfId="3" priority="3" operator="notBetween">
      <formula>10</formula>
      <formula>200</formula>
    </cfRule>
  </conditionalFormatting>
  <conditionalFormatting sqref="B23">
    <cfRule type="cellIs" dxfId="2" priority="2" operator="notBetween">
      <formula>500</formula>
      <formula>1500</formula>
    </cfRule>
  </conditionalFormatting>
  <conditionalFormatting sqref="B24">
    <cfRule type="cellIs" dxfId="1" priority="1" operator="notBetween">
      <formula>0</formula>
      <formula>500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188"/>
  <sheetViews>
    <sheetView workbookViewId="0">
      <selection activeCell="A2" sqref="A2"/>
    </sheetView>
  </sheetViews>
  <sheetFormatPr baseColWidth="10" defaultRowHeight="12.75" x14ac:dyDescent="0.2"/>
  <cols>
    <col min="1" max="1" width="22.7109375" customWidth="1"/>
    <col min="3" max="3" width="12.42578125" bestFit="1" customWidth="1"/>
  </cols>
  <sheetData>
    <row r="1" spans="1:5" x14ac:dyDescent="0.2">
      <c r="A1" s="51" t="s">
        <v>93</v>
      </c>
      <c r="E1" s="51" t="s">
        <v>90</v>
      </c>
    </row>
    <row r="3" spans="1:5" x14ac:dyDescent="0.2">
      <c r="A3" s="51" t="s">
        <v>92</v>
      </c>
      <c r="B3">
        <f>'Haustechnikvarianten berechnen'!C53</f>
        <v>12</v>
      </c>
      <c r="E3" t="e">
        <v>#REF!</v>
      </c>
    </row>
    <row r="4" spans="1:5" x14ac:dyDescent="0.2">
      <c r="A4" s="51" t="s">
        <v>100</v>
      </c>
      <c r="B4" s="102">
        <f>'Haustechnikvarianten berechnen'!C54/1.1</f>
        <v>1</v>
      </c>
      <c r="E4" s="102" t="e">
        <v>#REF!</v>
      </c>
    </row>
    <row r="5" spans="1:5" x14ac:dyDescent="0.2">
      <c r="A5" s="51" t="s">
        <v>103</v>
      </c>
      <c r="B5" s="102">
        <f>'Haustechnikvarianten berechnen'!B23</f>
        <v>1000</v>
      </c>
      <c r="E5" s="102">
        <f>B5</f>
        <v>1000</v>
      </c>
    </row>
    <row r="6" spans="1:5" x14ac:dyDescent="0.2">
      <c r="A6" s="51" t="s">
        <v>105</v>
      </c>
      <c r="B6" s="102">
        <f>'Haustechnikvarianten berechnen'!B11-'Haustechnikvarianten berechnen'!B32</f>
        <v>4600</v>
      </c>
      <c r="E6" s="102">
        <f>B6</f>
        <v>4600</v>
      </c>
    </row>
    <row r="7" spans="1:5" x14ac:dyDescent="0.2">
      <c r="A7" s="51" t="s">
        <v>230</v>
      </c>
      <c r="B7" s="102">
        <f>'Haustechnikvarianten berechnen'!B12</f>
        <v>3000</v>
      </c>
      <c r="E7" s="102">
        <f>B7</f>
        <v>3000</v>
      </c>
    </row>
    <row r="8" spans="1:5" x14ac:dyDescent="0.2">
      <c r="A8" s="51" t="s">
        <v>231</v>
      </c>
      <c r="B8" s="102">
        <f>B6-B7</f>
        <v>1600</v>
      </c>
      <c r="E8" s="102">
        <f>B8</f>
        <v>1600</v>
      </c>
    </row>
    <row r="9" spans="1:5" x14ac:dyDescent="0.2">
      <c r="A9" s="51" t="s">
        <v>94</v>
      </c>
      <c r="B9">
        <f>10*ROUND((10*B3+340)/10,0)</f>
        <v>460</v>
      </c>
      <c r="E9" t="e">
        <f>10*ROUND(1.3*(10*E3+340)/10,0)</f>
        <v>#REF!</v>
      </c>
    </row>
    <row r="10" spans="1:5" x14ac:dyDescent="0.2">
      <c r="A10" s="51" t="s">
        <v>95</v>
      </c>
      <c r="B10">
        <f>10*ROUND(B3*B4*B5/1000*B9/10,0)</f>
        <v>5520</v>
      </c>
      <c r="E10" t="e">
        <f>10*ROUND(E3*E4*E5/1000*E9/10,0)</f>
        <v>#REF!</v>
      </c>
    </row>
    <row r="11" spans="1:5" x14ac:dyDescent="0.2">
      <c r="A11" s="51" t="s">
        <v>232</v>
      </c>
      <c r="B11">
        <f>IF(B6=0,0,10*ROUND(B8*(1+0.77*B7/B6)/10,0))</f>
        <v>2400</v>
      </c>
      <c r="E11">
        <f>B11</f>
        <v>2400</v>
      </c>
    </row>
    <row r="12" spans="1:5" x14ac:dyDescent="0.2">
      <c r="A12" s="51" t="s">
        <v>104</v>
      </c>
      <c r="B12">
        <f>IF(B10&gt;0.7*B11,B11*0.7,B10)</f>
        <v>1680</v>
      </c>
      <c r="E12" t="e">
        <f>IF(E10&gt;0.7*E11,E11*0.7,E10)</f>
        <v>#REF!</v>
      </c>
    </row>
    <row r="13" spans="1:5" x14ac:dyDescent="0.2">
      <c r="A13" s="51" t="s">
        <v>233</v>
      </c>
      <c r="B13">
        <f>10*ROUND((B6-B11+B12)/10,0)</f>
        <v>3880</v>
      </c>
      <c r="E13" t="e">
        <f>10*ROUND((E6-E11+E12)/10,0)</f>
        <v>#REF!</v>
      </c>
    </row>
    <row r="14" spans="1:5" x14ac:dyDescent="0.2">
      <c r="A14" s="51"/>
    </row>
    <row r="17" spans="1:7" x14ac:dyDescent="0.2">
      <c r="A17" s="51" t="s">
        <v>106</v>
      </c>
    </row>
    <row r="18" spans="1:7" x14ac:dyDescent="0.2">
      <c r="C18" s="51" t="s">
        <v>216</v>
      </c>
      <c r="E18" s="51" t="s">
        <v>288</v>
      </c>
      <c r="F18" s="51" t="s">
        <v>289</v>
      </c>
      <c r="G18" t="s">
        <v>299</v>
      </c>
    </row>
    <row r="19" spans="1:7" x14ac:dyDescent="0.2">
      <c r="A19" s="51" t="s">
        <v>92</v>
      </c>
      <c r="C19">
        <f>'Haustechnikvarianten berechnen'!C53</f>
        <v>12</v>
      </c>
      <c r="E19">
        <f>'Haustechnikvarianten berechnen'!E53</f>
        <v>12</v>
      </c>
      <c r="F19">
        <f>'Haustechnikvarianten berechnen'!F53</f>
        <v>12</v>
      </c>
      <c r="G19">
        <f>'Haustechnikvarianten berechnen'!G53</f>
        <v>0</v>
      </c>
    </row>
    <row r="20" spans="1:7" x14ac:dyDescent="0.2">
      <c r="A20" s="51" t="s">
        <v>100</v>
      </c>
      <c r="C20" s="4">
        <f>'Haustechnikvarianten berechnen'!C54/1.1</f>
        <v>1</v>
      </c>
      <c r="E20" s="4">
        <f>'Haustechnikvarianten berechnen'!E54/1.1</f>
        <v>1</v>
      </c>
      <c r="F20" s="4">
        <f>'Haustechnikvarianten berechnen'!F54/1.1</f>
        <v>1</v>
      </c>
      <c r="G20" s="4">
        <f>'Haustechnikvarianten berechnen'!G54/1.1</f>
        <v>1</v>
      </c>
    </row>
    <row r="21" spans="1:7" x14ac:dyDescent="0.2">
      <c r="A21" s="51" t="s">
        <v>103</v>
      </c>
      <c r="C21" s="102">
        <f>B5</f>
        <v>1000</v>
      </c>
      <c r="E21" s="102">
        <f>C21</f>
        <v>1000</v>
      </c>
      <c r="F21" s="102">
        <f t="shared" ref="F21" si="0">E5</f>
        <v>1000</v>
      </c>
      <c r="G21" s="102">
        <f>B5</f>
        <v>1000</v>
      </c>
    </row>
    <row r="22" spans="1:7" x14ac:dyDescent="0.2">
      <c r="A22" s="51" t="s">
        <v>105</v>
      </c>
      <c r="C22" s="102">
        <f>B6</f>
        <v>4600</v>
      </c>
      <c r="E22" s="102">
        <f>C22</f>
        <v>4600</v>
      </c>
      <c r="F22" s="102">
        <f t="shared" ref="F22" si="1">E6</f>
        <v>4600</v>
      </c>
      <c r="G22" s="102">
        <f>B6</f>
        <v>4600</v>
      </c>
    </row>
    <row r="23" spans="1:7" x14ac:dyDescent="0.2">
      <c r="A23" s="51" t="s">
        <v>230</v>
      </c>
      <c r="C23" s="102">
        <f>B7</f>
        <v>3000</v>
      </c>
      <c r="E23" s="102">
        <f>C23</f>
        <v>3000</v>
      </c>
      <c r="F23" s="102">
        <f t="shared" ref="F23" si="2">E7</f>
        <v>3000</v>
      </c>
      <c r="G23" s="102">
        <f>B7</f>
        <v>3000</v>
      </c>
    </row>
    <row r="24" spans="1:7" x14ac:dyDescent="0.2">
      <c r="A24" s="51" t="s">
        <v>231</v>
      </c>
      <c r="B24" s="102"/>
      <c r="C24" s="102">
        <f>B8</f>
        <v>1600</v>
      </c>
      <c r="E24" s="102">
        <f>C24</f>
        <v>1600</v>
      </c>
      <c r="F24" s="102">
        <f t="shared" ref="F24" si="3">E8</f>
        <v>1600</v>
      </c>
      <c r="G24" s="102">
        <f>B8</f>
        <v>1600</v>
      </c>
    </row>
    <row r="25" spans="1:7" x14ac:dyDescent="0.2">
      <c r="A25" s="51" t="s">
        <v>110</v>
      </c>
      <c r="C25" s="102">
        <f>'Haustechnikvarianten berechnen'!B90-'Haustechnikvarianten berechnen'!B31</f>
        <v>17520</v>
      </c>
      <c r="E25" s="102">
        <f>C25</f>
        <v>17520</v>
      </c>
      <c r="F25" s="102">
        <f>E25</f>
        <v>17520</v>
      </c>
      <c r="G25" s="102">
        <f>F25</f>
        <v>17520</v>
      </c>
    </row>
    <row r="26" spans="1:7" x14ac:dyDescent="0.2">
      <c r="A26" s="51" t="s">
        <v>107</v>
      </c>
      <c r="C26">
        <f>'Haustechnikvarianten berechnen'!C47</f>
        <v>35</v>
      </c>
      <c r="E26">
        <f>'Haustechnikvarianten berechnen'!E47</f>
        <v>35</v>
      </c>
      <c r="F26">
        <f>'Haustechnikvarianten berechnen'!F47</f>
        <v>35</v>
      </c>
      <c r="G26">
        <f>'Haustechnikvarianten berechnen'!G47</f>
        <v>35</v>
      </c>
    </row>
    <row r="27" spans="1:7" x14ac:dyDescent="0.2">
      <c r="A27" s="51" t="s">
        <v>94</v>
      </c>
      <c r="C27">
        <f>IF(C19&lt;=12,360,10*ROUND((400 -90*C19/27)/10,0))</f>
        <v>360</v>
      </c>
      <c r="E27">
        <f t="shared" ref="E27:F27" si="4">IF(E19&lt;=12,360,10*ROUND((400 -90*E19/27)/10,0))</f>
        <v>360</v>
      </c>
      <c r="F27">
        <f t="shared" si="4"/>
        <v>360</v>
      </c>
      <c r="G27">
        <f t="shared" ref="G27" si="5">IF(G19&lt;=12,360,10*ROUND((400 -90*G19/27)/10,0))</f>
        <v>360</v>
      </c>
    </row>
    <row r="28" spans="1:7" x14ac:dyDescent="0.2">
      <c r="A28" s="51" t="s">
        <v>124</v>
      </c>
      <c r="C28">
        <f>IF(C22&gt;=3200,IF(C19&lt;20,10*ROUND((C27-30+0.01875*C22)/10,0),C27),C27)</f>
        <v>420</v>
      </c>
      <c r="E28">
        <f t="shared" ref="E28:F28" si="6">IF(E22&gt;=3200,IF(E19&lt;20,10*ROUND((E27-30+0.01875*E22)/10,0),E27),E27)</f>
        <v>420</v>
      </c>
      <c r="F28">
        <f t="shared" si="6"/>
        <v>420</v>
      </c>
      <c r="G28">
        <f t="shared" ref="G28" si="7">IF(G22&gt;=3200,IF(G19&lt;20,10*ROUND((G27-30+0.01875*G22)/10,0),G27),G27)</f>
        <v>420</v>
      </c>
    </row>
    <row r="29" spans="1:7" x14ac:dyDescent="0.2">
      <c r="A29" s="51" t="s">
        <v>125</v>
      </c>
      <c r="C29">
        <f>IF(C25&lt;5000,10*ROUND((C27-26.666+2.222*C19)/10,0),C28)</f>
        <v>420</v>
      </c>
      <c r="E29">
        <f t="shared" ref="E29:F29" si="8">IF(E25&lt;5000,10*ROUND((E27-26.666+2.222*E19)/10,0),E28)</f>
        <v>420</v>
      </c>
      <c r="F29">
        <f t="shared" si="8"/>
        <v>420</v>
      </c>
      <c r="G29">
        <f t="shared" ref="G29" si="9">IF(G25&lt;5000,10*ROUND((G27-26.666+2.222*G19)/10,0),G28)</f>
        <v>420</v>
      </c>
    </row>
    <row r="30" spans="1:7" x14ac:dyDescent="0.2">
      <c r="A30" s="51" t="s">
        <v>122</v>
      </c>
      <c r="C30">
        <f>10*ROUND((-1.428*C26+C29+50)/10,0)</f>
        <v>420</v>
      </c>
      <c r="E30">
        <f t="shared" ref="E30:F30" si="10">10*ROUND((-1.428*E26+E29+50)/10,0)</f>
        <v>420</v>
      </c>
      <c r="F30">
        <f t="shared" si="10"/>
        <v>420</v>
      </c>
      <c r="G30">
        <f t="shared" ref="G30" si="11">10*ROUND((-1.428*G26+G29+50)/10,0)</f>
        <v>420</v>
      </c>
    </row>
    <row r="31" spans="1:7" x14ac:dyDescent="0.2">
      <c r="A31" s="51" t="s">
        <v>95</v>
      </c>
      <c r="C31">
        <f>10*ROUND(C19*C20*C21/1000*C30/10,0)</f>
        <v>5040</v>
      </c>
      <c r="E31">
        <f t="shared" ref="E31:F31" si="12">10*ROUND(E19*E20*E21/1000*E30/10,0)</f>
        <v>5040</v>
      </c>
      <c r="F31">
        <f t="shared" si="12"/>
        <v>5040</v>
      </c>
      <c r="G31">
        <f t="shared" ref="G31" si="13">10*ROUND(G19*G20*G21/1000*G30/10,0)</f>
        <v>0</v>
      </c>
    </row>
    <row r="32" spans="1:7" x14ac:dyDescent="0.2">
      <c r="A32" s="51" t="s">
        <v>234</v>
      </c>
      <c r="C32">
        <f>B11</f>
        <v>2400</v>
      </c>
      <c r="E32">
        <f>C32</f>
        <v>2400</v>
      </c>
      <c r="F32">
        <f t="shared" ref="F32" si="14">E11</f>
        <v>2400</v>
      </c>
      <c r="G32">
        <f>B11</f>
        <v>2400</v>
      </c>
    </row>
    <row r="33" spans="1:8" x14ac:dyDescent="0.2">
      <c r="A33" s="51" t="s">
        <v>104</v>
      </c>
      <c r="C33">
        <f>IF(C31&gt;0.9*(C32+C25),0.9*(C32+C25),C31)</f>
        <v>5040</v>
      </c>
      <c r="E33">
        <f t="shared" ref="E33:F33" si="15">IF(E31&gt;0.9*(E32+E25),0.9*(E32+E25),E31)</f>
        <v>5040</v>
      </c>
      <c r="F33">
        <f t="shared" si="15"/>
        <v>5040</v>
      </c>
      <c r="G33">
        <f t="shared" ref="G33" si="16">IF(G31&gt;0.9*(G32+G25),0.9*(G32+G25),G31)</f>
        <v>0</v>
      </c>
    </row>
    <row r="34" spans="1:8" x14ac:dyDescent="0.2">
      <c r="A34" s="51" t="s">
        <v>233</v>
      </c>
      <c r="C34">
        <f>10*ROUND((C22-C32+C33)/10,0)</f>
        <v>7240</v>
      </c>
      <c r="E34">
        <f t="shared" ref="E34:F34" si="17">10*ROUND((E22-E32+E33)/10,0)</f>
        <v>7240</v>
      </c>
      <c r="F34">
        <f t="shared" si="17"/>
        <v>7240</v>
      </c>
      <c r="G34">
        <f t="shared" ref="G34" si="18">10*ROUND((G22-G32+G33)/10,0)</f>
        <v>2200</v>
      </c>
    </row>
    <row r="36" spans="1:8" x14ac:dyDescent="0.2">
      <c r="A36" s="51" t="s">
        <v>91</v>
      </c>
    </row>
    <row r="38" spans="1:8" x14ac:dyDescent="0.2">
      <c r="A38" s="51" t="s">
        <v>92</v>
      </c>
      <c r="C38" t="e">
        <f>'Haustechnikvarianten berechnen'!#REF!</f>
        <v>#REF!</v>
      </c>
    </row>
    <row r="39" spans="1:8" x14ac:dyDescent="0.2">
      <c r="A39" s="51" t="s">
        <v>100</v>
      </c>
      <c r="C39" s="4" t="e">
        <f>'Haustechnikvarianten berechnen'!#REF!/1.1</f>
        <v>#REF!</v>
      </c>
    </row>
    <row r="40" spans="1:8" x14ac:dyDescent="0.2">
      <c r="A40" s="51" t="s">
        <v>103</v>
      </c>
      <c r="C40" s="102" t="e">
        <f>#REF!</f>
        <v>#REF!</v>
      </c>
    </row>
    <row r="41" spans="1:8" x14ac:dyDescent="0.2">
      <c r="A41" s="51" t="s">
        <v>110</v>
      </c>
      <c r="C41" s="102" t="e">
        <f>#REF!</f>
        <v>#REF!</v>
      </c>
    </row>
    <row r="42" spans="1:8" x14ac:dyDescent="0.2">
      <c r="A42" s="51" t="s">
        <v>94</v>
      </c>
      <c r="C42" t="e">
        <f>IF(C41&gt;=18100,440,IF(C41&gt;=11000,10*ROUND((440-80*(11300/C41)^2)/10,0),370))</f>
        <v>#REF!</v>
      </c>
    </row>
    <row r="43" spans="1:8" x14ac:dyDescent="0.2">
      <c r="A43" s="51" t="s">
        <v>95</v>
      </c>
      <c r="C43" t="e">
        <f>10*ROUND(C38*C39*C40/1000*C42/10,0)</f>
        <v>#REF!</v>
      </c>
    </row>
    <row r="44" spans="1:8" x14ac:dyDescent="0.2">
      <c r="A44" s="51" t="s">
        <v>104</v>
      </c>
      <c r="C44" t="e">
        <f>IF(C43&gt;C41,C41,C43)</f>
        <v>#REF!</v>
      </c>
    </row>
    <row r="47" spans="1:8" x14ac:dyDescent="0.2">
      <c r="A47" t="s">
        <v>108</v>
      </c>
    </row>
    <row r="48" spans="1:8" x14ac:dyDescent="0.2">
      <c r="A48" t="s">
        <v>109</v>
      </c>
      <c r="C48">
        <v>1600</v>
      </c>
      <c r="D48">
        <v>3200</v>
      </c>
      <c r="E48">
        <v>0</v>
      </c>
      <c r="H48" s="113">
        <v>3200</v>
      </c>
    </row>
    <row r="49" spans="1:8" x14ac:dyDescent="0.2">
      <c r="A49" t="s">
        <v>110</v>
      </c>
      <c r="C49">
        <v>18100</v>
      </c>
      <c r="D49">
        <v>11300</v>
      </c>
      <c r="E49">
        <v>1800</v>
      </c>
      <c r="F49">
        <v>0</v>
      </c>
      <c r="H49" s="113">
        <v>11000</v>
      </c>
    </row>
    <row r="50" spans="1:8" x14ac:dyDescent="0.2">
      <c r="A50" t="s">
        <v>111</v>
      </c>
      <c r="C50">
        <v>35</v>
      </c>
      <c r="D50">
        <v>70</v>
      </c>
      <c r="H50" s="113">
        <v>35</v>
      </c>
    </row>
    <row r="51" spans="1:8" x14ac:dyDescent="0.2">
      <c r="A51" t="s">
        <v>112</v>
      </c>
      <c r="C51" t="s">
        <v>113</v>
      </c>
      <c r="D51" t="s">
        <v>114</v>
      </c>
      <c r="E51" t="s">
        <v>115</v>
      </c>
    </row>
    <row r="52" spans="1:8" x14ac:dyDescent="0.2">
      <c r="A52" t="s">
        <v>92</v>
      </c>
      <c r="C52">
        <v>3</v>
      </c>
      <c r="D52">
        <v>6</v>
      </c>
      <c r="E52">
        <v>12</v>
      </c>
      <c r="F52">
        <v>21</v>
      </c>
      <c r="G52">
        <v>39</v>
      </c>
      <c r="H52" s="113">
        <v>3</v>
      </c>
    </row>
    <row r="54" spans="1:8" x14ac:dyDescent="0.2">
      <c r="A54" t="s">
        <v>116</v>
      </c>
    </row>
    <row r="55" spans="1:8" x14ac:dyDescent="0.2">
      <c r="A55" t="s">
        <v>117</v>
      </c>
      <c r="C55" t="s">
        <v>118</v>
      </c>
      <c r="E55">
        <f>IF(H49&gt;=18100,440,IF(H49&gt;=11000,10*ROUND((440-80*(11300/H49)^2)/10,0),370))</f>
        <v>360</v>
      </c>
    </row>
    <row r="56" spans="1:8" x14ac:dyDescent="0.2">
      <c r="C56" t="s">
        <v>119</v>
      </c>
      <c r="E56">
        <f>IF(H52&lt;=12,360,10*ROUND((400 -90*H52/27)/10,0))</f>
        <v>360</v>
      </c>
    </row>
    <row r="57" spans="1:8" x14ac:dyDescent="0.2">
      <c r="C57" t="s">
        <v>120</v>
      </c>
      <c r="E57">
        <f>IF(H48&gt;=3200,IF(H52&lt;20,10*ROUND((E56-30+0.01875*H48)/10,0),E56),E56)</f>
        <v>390</v>
      </c>
    </row>
    <row r="58" spans="1:8" x14ac:dyDescent="0.2">
      <c r="C58" t="s">
        <v>121</v>
      </c>
      <c r="E58">
        <f>IF(H49&lt;5000,10*ROUND((E56-26.666+2.222*H52)/10,0),E57)</f>
        <v>390</v>
      </c>
    </row>
    <row r="59" spans="1:8" x14ac:dyDescent="0.2">
      <c r="C59" t="s">
        <v>122</v>
      </c>
      <c r="E59">
        <f>10*ROUND((-1.428*H50+E58+50)/10,0)</f>
        <v>390</v>
      </c>
    </row>
    <row r="60" spans="1:8" x14ac:dyDescent="0.2">
      <c r="C60" t="s">
        <v>114</v>
      </c>
      <c r="E60">
        <f>10*ROUND(1.19*E59/10,0)</f>
        <v>460</v>
      </c>
    </row>
    <row r="61" spans="1:8" x14ac:dyDescent="0.2">
      <c r="C61" t="s">
        <v>123</v>
      </c>
      <c r="E61">
        <f>10*ROUND((10*H52+340)/10,0)</f>
        <v>370</v>
      </c>
    </row>
    <row r="64" spans="1:8" x14ac:dyDescent="0.2">
      <c r="A64" s="51" t="s">
        <v>186</v>
      </c>
      <c r="C64">
        <f>'Haustechnikvarianten berechnen'!C56</f>
        <v>4</v>
      </c>
      <c r="D64">
        <f>'Haustechnikvarianten berechnen'!D56+'Haustechnikvarianten berechnen'!D58</f>
        <v>5.8</v>
      </c>
      <c r="E64">
        <f>'Haustechnikvarianten berechnen'!E56</f>
        <v>4</v>
      </c>
      <c r="F64">
        <f>'Haustechnikvarianten berechnen'!F56</f>
        <v>4</v>
      </c>
      <c r="G64">
        <f>'Haustechnikvarianten berechnen'!G56</f>
        <v>4</v>
      </c>
    </row>
    <row r="65" spans="1:8" x14ac:dyDescent="0.2">
      <c r="A65" s="51" t="s">
        <v>187</v>
      </c>
      <c r="C65">
        <f>'Haustechnikvarianten berechnen'!C93</f>
        <v>900</v>
      </c>
      <c r="D65">
        <f>'Haustechnikvarianten berechnen'!D93</f>
        <v>900</v>
      </c>
      <c r="E65">
        <f>'Haustechnikvarianten berechnen'!E93</f>
        <v>900</v>
      </c>
      <c r="F65">
        <f>'Haustechnikvarianten berechnen'!F93</f>
        <v>900</v>
      </c>
      <c r="G65">
        <f>'Haustechnikvarianten berechnen'!G93</f>
        <v>900</v>
      </c>
    </row>
    <row r="66" spans="1:8" x14ac:dyDescent="0.2">
      <c r="A66" s="51" t="s">
        <v>188</v>
      </c>
      <c r="C66" s="172">
        <f>'Haustechnikvarianten berechnen'!B30-'Haustechnikvarianten berechnen'!B33</f>
        <v>4000</v>
      </c>
      <c r="D66">
        <f>C66</f>
        <v>4000</v>
      </c>
      <c r="E66" s="172">
        <f>D66</f>
        <v>4000</v>
      </c>
      <c r="F66">
        <f>E66</f>
        <v>4000</v>
      </c>
      <c r="G66">
        <f>F66</f>
        <v>4000</v>
      </c>
    </row>
    <row r="67" spans="1:8" x14ac:dyDescent="0.2">
      <c r="A67" s="51" t="s">
        <v>189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8" x14ac:dyDescent="0.2">
      <c r="A68" s="51" t="s">
        <v>190</v>
      </c>
      <c r="C68">
        <v>0</v>
      </c>
      <c r="D68">
        <v>0</v>
      </c>
      <c r="E68">
        <v>0</v>
      </c>
      <c r="F68">
        <v>0</v>
      </c>
      <c r="G68">
        <v>0</v>
      </c>
    </row>
    <row r="69" spans="1:8" x14ac:dyDescent="0.2">
      <c r="A69" s="51" t="s">
        <v>216</v>
      </c>
      <c r="C69">
        <f>'Haustechnikvarianten berechnen'!C92</f>
        <v>2150</v>
      </c>
      <c r="D69">
        <f>'Haustechnikvarianten berechnen'!D92</f>
        <v>4250</v>
      </c>
      <c r="E69">
        <f>'Haustechnikvarianten berechnen'!E92</f>
        <v>0</v>
      </c>
      <c r="F69">
        <f>'Haustechnikvarianten berechnen'!F92</f>
        <v>0</v>
      </c>
      <c r="G69">
        <f>'Haustechnikvarianten berechnen'!G92</f>
        <v>4780</v>
      </c>
    </row>
    <row r="73" spans="1:8" x14ac:dyDescent="0.2">
      <c r="A73" s="122" t="s">
        <v>127</v>
      </c>
      <c r="B73" s="123"/>
      <c r="C73" s="134">
        <f t="shared" ref="C73:D74" si="19">C64</f>
        <v>4</v>
      </c>
      <c r="D73" s="134">
        <f t="shared" si="19"/>
        <v>5.8</v>
      </c>
      <c r="E73" s="134">
        <f t="shared" ref="E73:F73" si="20">E64</f>
        <v>4</v>
      </c>
      <c r="F73" s="134">
        <f t="shared" si="20"/>
        <v>4</v>
      </c>
      <c r="G73" s="134">
        <f t="shared" ref="G73" si="21">G64</f>
        <v>4</v>
      </c>
      <c r="H73" s="134"/>
    </row>
    <row r="74" spans="1:8" x14ac:dyDescent="0.2">
      <c r="A74" s="122" t="s">
        <v>128</v>
      </c>
      <c r="B74" s="122"/>
      <c r="C74" s="134">
        <f t="shared" si="19"/>
        <v>900</v>
      </c>
      <c r="D74" s="134">
        <f t="shared" si="19"/>
        <v>900</v>
      </c>
      <c r="E74" s="134">
        <f t="shared" ref="E74:F74" si="22">E65</f>
        <v>900</v>
      </c>
      <c r="F74" s="134">
        <f t="shared" si="22"/>
        <v>900</v>
      </c>
      <c r="G74" s="134">
        <f t="shared" ref="G74" si="23">G65</f>
        <v>900</v>
      </c>
      <c r="H74" s="134"/>
    </row>
    <row r="75" spans="1:8" x14ac:dyDescent="0.2">
      <c r="A75" s="122" t="s">
        <v>129</v>
      </c>
      <c r="B75" s="122"/>
      <c r="C75" s="134">
        <f>C$73*C$74</f>
        <v>3600</v>
      </c>
      <c r="D75" s="134">
        <f>'Haustechnikvarianten berechnen'!D94</f>
        <v>5740</v>
      </c>
      <c r="E75" s="134">
        <f>E$73*E$74</f>
        <v>3600</v>
      </c>
      <c r="F75" s="134">
        <f>'Haustechnikvarianten berechnen'!F94</f>
        <v>3600</v>
      </c>
      <c r="G75" s="134">
        <f>'Haustechnikvarianten berechnen'!G94</f>
        <v>3600</v>
      </c>
      <c r="H75" s="134"/>
    </row>
    <row r="76" spans="1:8" x14ac:dyDescent="0.2">
      <c r="A76" s="122" t="s">
        <v>130</v>
      </c>
      <c r="B76" s="122"/>
      <c r="C76" s="134">
        <f>'Haustechnikvarianten berechnen'!C64</f>
        <v>4</v>
      </c>
      <c r="D76" s="134">
        <f>'Haustechnikvarianten berechnen'!D64</f>
        <v>4</v>
      </c>
      <c r="E76" s="134">
        <f>'Haustechnikvarianten berechnen'!E64</f>
        <v>4</v>
      </c>
      <c r="F76" s="134">
        <f>'Haustechnikvarianten berechnen'!F64</f>
        <v>4</v>
      </c>
      <c r="G76" s="134">
        <f>'Haustechnikvarianten berechnen'!G64</f>
        <v>4</v>
      </c>
      <c r="H76" s="134"/>
    </row>
    <row r="77" spans="1:8" x14ac:dyDescent="0.2">
      <c r="A77" s="122" t="s">
        <v>131</v>
      </c>
      <c r="B77" s="122"/>
      <c r="C77" s="134">
        <f>C66</f>
        <v>4000</v>
      </c>
      <c r="D77" s="134">
        <f>D66</f>
        <v>4000</v>
      </c>
      <c r="E77" s="134">
        <f>E66</f>
        <v>4000</v>
      </c>
      <c r="F77" s="134">
        <f>F66</f>
        <v>4000</v>
      </c>
      <c r="G77" s="134">
        <f>G66</f>
        <v>4000</v>
      </c>
      <c r="H77" s="134"/>
    </row>
    <row r="78" spans="1:8" x14ac:dyDescent="0.2">
      <c r="A78" s="122" t="s">
        <v>132</v>
      </c>
      <c r="B78" s="122"/>
      <c r="C78" s="134">
        <v>0</v>
      </c>
      <c r="D78" s="134">
        <v>0</v>
      </c>
      <c r="E78" s="134">
        <v>0</v>
      </c>
      <c r="F78" s="134">
        <v>0</v>
      </c>
      <c r="G78" s="134">
        <v>0</v>
      </c>
      <c r="H78" s="134"/>
    </row>
    <row r="79" spans="1:8" x14ac:dyDescent="0.2">
      <c r="A79" s="122" t="s">
        <v>133</v>
      </c>
      <c r="B79" s="122"/>
      <c r="C79" s="134">
        <f>C67</f>
        <v>0</v>
      </c>
      <c r="D79" s="134">
        <f>D67</f>
        <v>0</v>
      </c>
      <c r="E79" s="134">
        <f>E67</f>
        <v>0</v>
      </c>
      <c r="F79" s="134">
        <f>F67</f>
        <v>0</v>
      </c>
      <c r="G79" s="134">
        <f>G67</f>
        <v>0</v>
      </c>
      <c r="H79" s="134"/>
    </row>
    <row r="80" spans="1:8" x14ac:dyDescent="0.2">
      <c r="A80" s="122" t="s">
        <v>134</v>
      </c>
      <c r="B80" s="122"/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34"/>
    </row>
    <row r="81" spans="1:10" x14ac:dyDescent="0.2">
      <c r="A81" s="122" t="s">
        <v>135</v>
      </c>
      <c r="B81" s="122"/>
      <c r="C81" s="134">
        <f>C68</f>
        <v>0</v>
      </c>
      <c r="D81" s="134">
        <f>D68</f>
        <v>0</v>
      </c>
      <c r="E81" s="134">
        <f>E68</f>
        <v>0</v>
      </c>
      <c r="F81" s="134">
        <f>F68</f>
        <v>0</v>
      </c>
      <c r="G81" s="134">
        <f>G68</f>
        <v>0</v>
      </c>
      <c r="H81" s="134"/>
    </row>
    <row r="82" spans="1:10" x14ac:dyDescent="0.2">
      <c r="A82" s="122"/>
      <c r="B82" s="122"/>
      <c r="C82" s="134"/>
      <c r="D82" s="134"/>
      <c r="E82" s="134"/>
      <c r="F82" s="134"/>
      <c r="G82" s="134"/>
      <c r="H82" s="134"/>
    </row>
    <row r="83" spans="1:10" x14ac:dyDescent="0.2">
      <c r="A83" s="122" t="s">
        <v>136</v>
      </c>
      <c r="B83" s="122"/>
      <c r="C83" s="134">
        <f>C$75*MIN(0.6,1/(1+6*C$75/(C$80+C$81+0.0001)))</f>
        <v>1.6666666589506171E-5</v>
      </c>
      <c r="D83" s="134">
        <f t="shared" ref="D83:G83" si="24">D$75*MIN(0.6,1/(1+6*D$75/(D$80+D$81+0.0001)))</f>
        <v>1.6666666618273327E-5</v>
      </c>
      <c r="E83" s="134">
        <f>E$75*MIN(0.6,1/(1+6*E$75/(E$80+E$81+0.0001)))</f>
        <v>1.6666666589506171E-5</v>
      </c>
      <c r="F83" s="134">
        <f t="shared" si="24"/>
        <v>1.6666666589506171E-5</v>
      </c>
      <c r="G83" s="134">
        <f t="shared" si="24"/>
        <v>1.6666666589506171E-5</v>
      </c>
      <c r="H83" s="134"/>
      <c r="I83" s="122"/>
      <c r="J83" s="133"/>
    </row>
    <row r="84" spans="1:10" x14ac:dyDescent="0.2">
      <c r="A84" s="122" t="s">
        <v>137</v>
      </c>
      <c r="B84" s="122"/>
      <c r="C84" s="134">
        <f>C$73*C$74/1025</f>
        <v>3.5121951219512195</v>
      </c>
      <c r="D84" s="134">
        <f t="shared" ref="D84:G84" si="25">D$73*D$74/1025</f>
        <v>5.0926829268292684</v>
      </c>
      <c r="E84" s="134">
        <f>E$73*E$74/1025</f>
        <v>3.5121951219512195</v>
      </c>
      <c r="F84" s="134">
        <f t="shared" si="25"/>
        <v>3.5121951219512195</v>
      </c>
      <c r="G84" s="134">
        <f t="shared" si="25"/>
        <v>3.5121951219512195</v>
      </c>
      <c r="H84" s="134"/>
    </row>
    <row r="85" spans="1:10" x14ac:dyDescent="0.2">
      <c r="A85" s="122" t="s">
        <v>138</v>
      </c>
      <c r="B85" s="122"/>
      <c r="C85" s="134">
        <f>0.05*C$78+0.5*C$79+C$83</f>
        <v>1.6666666589506171E-5</v>
      </c>
      <c r="D85" s="134">
        <f t="shared" ref="D85:G85" si="26">0.05*D$78+0.5*D$79+D$83</f>
        <v>1.6666666618273327E-5</v>
      </c>
      <c r="E85" s="134">
        <f>0.05*E$78+0.5*E$79+E$83</f>
        <v>1.6666666589506171E-5</v>
      </c>
      <c r="F85" s="134">
        <f t="shared" si="26"/>
        <v>1.6666666589506171E-5</v>
      </c>
      <c r="G85" s="134">
        <f t="shared" si="26"/>
        <v>1.6666666589506171E-5</v>
      </c>
      <c r="H85" s="134"/>
      <c r="I85" s="133"/>
    </row>
    <row r="86" spans="1:10" x14ac:dyDescent="0.2">
      <c r="A86" s="122" t="s">
        <v>139</v>
      </c>
      <c r="B86" s="122"/>
      <c r="C86" s="134">
        <f>C$77*0.49</f>
        <v>1960</v>
      </c>
      <c r="D86" s="134">
        <f t="shared" ref="D86:G86" si="27">D$77*0.49</f>
        <v>1960</v>
      </c>
      <c r="E86" s="134">
        <f>E$77*0.49</f>
        <v>1960</v>
      </c>
      <c r="F86" s="134">
        <f t="shared" si="27"/>
        <v>1960</v>
      </c>
      <c r="G86" s="134">
        <f t="shared" si="27"/>
        <v>1960</v>
      </c>
      <c r="H86" s="134"/>
    </row>
    <row r="87" spans="1:10" x14ac:dyDescent="0.2">
      <c r="A87" s="122" t="s">
        <v>140</v>
      </c>
      <c r="B87" s="122"/>
      <c r="C87" s="134">
        <f>MIN(1,(0.2+0.8*C$84/9))</f>
        <v>0.51219512195121952</v>
      </c>
      <c r="D87" s="134">
        <f t="shared" ref="D87:G87" si="28">MIN(1,(0.2+0.8*D$84/9))</f>
        <v>0.65268292682926832</v>
      </c>
      <c r="E87" s="134">
        <f>MIN(1,(0.2+0.8*E$84/9))</f>
        <v>0.51219512195121952</v>
      </c>
      <c r="F87" s="134">
        <f t="shared" si="28"/>
        <v>0.51219512195121952</v>
      </c>
      <c r="G87" s="134">
        <f t="shared" si="28"/>
        <v>0.51219512195121952</v>
      </c>
      <c r="H87" s="134"/>
    </row>
    <row r="88" spans="1:10" x14ac:dyDescent="0.2">
      <c r="A88" s="122" t="s">
        <v>141</v>
      </c>
      <c r="B88" s="122"/>
      <c r="C88" s="134">
        <f>C$86+C$85*C$87</f>
        <v>1960.0000085365853</v>
      </c>
      <c r="D88" s="134">
        <f t="shared" ref="D88:G88" si="29">D$86+D$85*D$87</f>
        <v>1960.0000108780487</v>
      </c>
      <c r="E88" s="134">
        <f>E$86+E$85*E$87</f>
        <v>1960.0000085365853</v>
      </c>
      <c r="F88" s="134">
        <f t="shared" si="29"/>
        <v>1960.0000085365853</v>
      </c>
      <c r="G88" s="134">
        <f t="shared" si="29"/>
        <v>1960.0000085365853</v>
      </c>
      <c r="H88" s="134"/>
    </row>
    <row r="89" spans="1:10" x14ac:dyDescent="0.2">
      <c r="A89" s="122" t="s">
        <v>142</v>
      </c>
      <c r="B89" s="122"/>
      <c r="C89" s="134">
        <f>0.51*C$77+0.1*C$78+0.5*C$79</f>
        <v>2040</v>
      </c>
      <c r="D89" s="134">
        <f t="shared" ref="D89:G89" si="30">0.51*D$77+0.1*D$78+0.5*D$79</f>
        <v>2040</v>
      </c>
      <c r="E89" s="134">
        <f>0.51*E$77+0.1*E$78+0.5*E$79</f>
        <v>2040</v>
      </c>
      <c r="F89" s="134">
        <f t="shared" si="30"/>
        <v>2040</v>
      </c>
      <c r="G89" s="134">
        <f t="shared" si="30"/>
        <v>2040</v>
      </c>
      <c r="H89" s="134"/>
    </row>
    <row r="90" spans="1:10" x14ac:dyDescent="0.2">
      <c r="A90" s="122" t="s">
        <v>143</v>
      </c>
      <c r="B90" s="122"/>
      <c r="C90" s="134">
        <f>29.468*(C$76/C$84)/(29.468*C$76/C$84+1)*0.844*C$76/(C$89/1000+0.0000001)/(0.844*C$76/(C$89/1000+0.0000001)+1)</f>
        <v>0.60530224384310904</v>
      </c>
      <c r="D90" s="134">
        <f t="shared" ref="D90:G90" si="31">29.468*(D$76/D$84)/(29.468*D$76/D$84+1)*0.844*D$76/(D$89/1000+0.0000001)/(0.844*D$76/(D$89/1000+0.0000001)+1)</f>
        <v>0.59752218218728692</v>
      </c>
      <c r="E90" s="134">
        <f>29.468*(E$76/E$84)/(29.468*E$76/E$84+1)*0.844*E$76/(E$89/1000+0.0000001)/(0.844*E$76/(E$89/1000+0.0000001)+1)</f>
        <v>0.60530224384310904</v>
      </c>
      <c r="F90" s="134">
        <f t="shared" si="31"/>
        <v>0.60530224384310904</v>
      </c>
      <c r="G90" s="134">
        <f t="shared" si="31"/>
        <v>0.60530224384310904</v>
      </c>
      <c r="H90" s="134"/>
    </row>
    <row r="91" spans="1:10" x14ac:dyDescent="0.2">
      <c r="A91" s="122" t="s">
        <v>144</v>
      </c>
      <c r="B91" s="122"/>
      <c r="C91" s="134">
        <f>MIN(1,1.05/(1+0.982*(C$75/MAX(1,C$88))^1.0378)+(C$90*2.305)/(1+1.961*(C$75/MAX(1,C$89))^0.947)-0.05/(1+(1-C$92)^2))</f>
        <v>0.6396415970685424</v>
      </c>
      <c r="D91" s="134">
        <f t="shared" ref="D91:G91" si="32">MIN(1,1.05/(1+0.982*(D$75/MAX(1,D$88))^1.0378)+(D$90*2.305)/(1+1.961*(D$75/MAX(1,D$89))^0.947)-0.05/(1+(1-D$92)^2))</f>
        <v>0.44207933886376483</v>
      </c>
      <c r="E91" s="134">
        <f>MIN(1,1.05/(1+0.982*(E$75/MAX(1,E$88))^1.0378)+(E$90*2.305)/(1+1.961*(E$75/MAX(1,E$89))^0.947)-0.05/(1+(1-E$92)^2))</f>
        <v>0.6396415970685424</v>
      </c>
      <c r="F91" s="134">
        <f t="shared" si="32"/>
        <v>0.6396415970685424</v>
      </c>
      <c r="G91" s="134">
        <f t="shared" si="32"/>
        <v>0.6396415970685424</v>
      </c>
      <c r="H91" s="134"/>
    </row>
    <row r="92" spans="1:10" x14ac:dyDescent="0.2">
      <c r="A92" s="122" t="s">
        <v>145</v>
      </c>
      <c r="B92" s="122"/>
      <c r="C92" s="134">
        <f>C$75/(C$77+1)</f>
        <v>0.89977505623594101</v>
      </c>
      <c r="D92" s="134">
        <f t="shared" ref="D92:G92" si="33">D$75/(D$77+1)</f>
        <v>1.4346413396650837</v>
      </c>
      <c r="E92" s="134">
        <f>E$75/(E$77+1)</f>
        <v>0.89977505623594101</v>
      </c>
      <c r="F92" s="134">
        <f t="shared" si="33"/>
        <v>0.89977505623594101</v>
      </c>
      <c r="G92" s="134">
        <f t="shared" si="33"/>
        <v>0.89977505623594101</v>
      </c>
      <c r="H92" s="134"/>
    </row>
    <row r="93" spans="1:10" x14ac:dyDescent="0.2">
      <c r="A93" s="122" t="s">
        <v>146</v>
      </c>
      <c r="B93" s="122"/>
      <c r="C93" s="134">
        <f>MIN(1,1.05/(1+0.982*(C$75/MAX(1,C$88))^1.0378)+0*(C$90*2.305)/(1+1.961*(C$75/MAX(1,C$89))^0.947)-0.05/(1+(1-C$92)^2))</f>
        <v>0.31948726934688249</v>
      </c>
      <c r="D93" s="134">
        <f t="shared" ref="D93:G93" si="34">MIN(1,1.05/(1+0.982*(D$75/MAX(1,D$88))^1.0378)+0*(D$90*2.305)/(1+1.961*(D$75/MAX(1,D$89))^0.947)-0.05/(1+(1-D$92)^2))</f>
        <v>0.22076874856678438</v>
      </c>
      <c r="E93" s="134">
        <f>MIN(1,1.05/(1+0.982*(E$75/MAX(1,E$88))^1.0378)+0*(E$90*2.305)/(1+1.961*(E$75/MAX(1,E$89))^0.947)-0.05/(1+(1-E$92)^2))</f>
        <v>0.31948726934688249</v>
      </c>
      <c r="F93" s="134">
        <f t="shared" si="34"/>
        <v>0.31948726934688249</v>
      </c>
      <c r="G93" s="134">
        <f t="shared" si="34"/>
        <v>0.31948726934688249</v>
      </c>
      <c r="H93" s="134"/>
    </row>
    <row r="94" spans="1:10" x14ac:dyDescent="0.2">
      <c r="A94" s="122"/>
      <c r="B94" s="122"/>
      <c r="C94" s="134"/>
      <c r="D94" s="134"/>
      <c r="E94" s="134"/>
      <c r="F94" s="134"/>
      <c r="G94" s="134"/>
      <c r="H94" s="134"/>
    </row>
    <row r="95" spans="1:10" x14ac:dyDescent="0.2">
      <c r="A95" s="122" t="s">
        <v>147</v>
      </c>
      <c r="B95" s="122"/>
      <c r="C95" s="134">
        <v>0.2</v>
      </c>
      <c r="D95" s="134">
        <v>0.2</v>
      </c>
      <c r="E95" s="134">
        <v>0.2</v>
      </c>
      <c r="F95" s="134">
        <v>0.2</v>
      </c>
      <c r="G95" s="134">
        <v>0.2</v>
      </c>
      <c r="H95" s="134"/>
    </row>
    <row r="96" spans="1:10" x14ac:dyDescent="0.2">
      <c r="A96" s="122" t="s">
        <v>148</v>
      </c>
      <c r="B96" s="122"/>
      <c r="C96" s="134">
        <f>(C$91-C$93)*C$75</f>
        <v>1152.5555797979757</v>
      </c>
      <c r="D96" s="134">
        <f t="shared" ref="D96:G96" si="35">(D$91-D$93)*D$75</f>
        <v>1270.3227883046677</v>
      </c>
      <c r="E96" s="134">
        <f>(E$91-E$93)*E$75</f>
        <v>1152.5555797979757</v>
      </c>
      <c r="F96" s="134">
        <f t="shared" si="35"/>
        <v>1152.5555797979757</v>
      </c>
      <c r="G96" s="134">
        <f t="shared" si="35"/>
        <v>1152.5555797979757</v>
      </c>
      <c r="H96" s="134"/>
    </row>
    <row r="97" spans="1:12" x14ac:dyDescent="0.2">
      <c r="A97" s="122" t="s">
        <v>149</v>
      </c>
      <c r="B97" s="122"/>
      <c r="C97" s="134">
        <f>C$95*C$96</f>
        <v>230.51111595959514</v>
      </c>
      <c r="D97" s="134">
        <f t="shared" ref="D97:G97" si="36">D$95*D$96</f>
        <v>254.06455766093356</v>
      </c>
      <c r="E97" s="134">
        <f>E$95*E$96</f>
        <v>230.51111595959514</v>
      </c>
      <c r="F97" s="134">
        <f t="shared" si="36"/>
        <v>230.51111595959514</v>
      </c>
      <c r="G97" s="134">
        <f t="shared" si="36"/>
        <v>230.51111595959514</v>
      </c>
      <c r="H97" s="134"/>
    </row>
    <row r="98" spans="1:12" x14ac:dyDescent="0.2">
      <c r="A98" s="122" t="s">
        <v>150</v>
      </c>
      <c r="B98" s="122"/>
      <c r="C98" s="134">
        <f>C$91*C$75-C$97</f>
        <v>2072.1986334871572</v>
      </c>
      <c r="D98" s="134">
        <f t="shared" ref="D98:G98" si="37">D$91*D$75-D$97</f>
        <v>2283.4708474170766</v>
      </c>
      <c r="E98" s="134">
        <f>E$91*E$75-E$97</f>
        <v>2072.1986334871572</v>
      </c>
      <c r="F98" s="134">
        <f t="shared" si="37"/>
        <v>2072.1986334871572</v>
      </c>
      <c r="G98" s="134">
        <f t="shared" si="37"/>
        <v>2072.1986334871572</v>
      </c>
      <c r="H98" s="134"/>
    </row>
    <row r="100" spans="1:12" x14ac:dyDescent="0.2">
      <c r="A100" s="122" t="s">
        <v>191</v>
      </c>
      <c r="C100" s="134"/>
      <c r="E100" s="134"/>
    </row>
    <row r="101" spans="1:12" x14ac:dyDescent="0.2">
      <c r="A101" s="122" t="s">
        <v>215</v>
      </c>
      <c r="C101" s="134">
        <f>MAX(10*ROUND(C98/C77*C69/30,0),10*ROUND((0.2*C75-C98-C97)/10,0))</f>
        <v>370</v>
      </c>
      <c r="D101" s="134">
        <f t="shared" ref="D101:F101" si="38">MAX(10*ROUND(D98/D77*D69/30,0),10*ROUND((0.2*D75-D98-D97)/10,0))</f>
        <v>810</v>
      </c>
      <c r="E101" s="134">
        <f>MAX(10*ROUND(E98/E77*E69/30,0),10*ROUND((0.2*E75-E98-E97)/10,0))</f>
        <v>0</v>
      </c>
      <c r="F101" s="134">
        <f t="shared" si="38"/>
        <v>0</v>
      </c>
      <c r="G101" s="134">
        <f t="shared" ref="G101" si="39">MAX(10*ROUND(G98/G77*G69/30,0),10*ROUND((0.2*G75-G98-G97)/10,0))</f>
        <v>830</v>
      </c>
      <c r="H101" s="134"/>
    </row>
    <row r="102" spans="1:12" x14ac:dyDescent="0.2">
      <c r="A102" s="122" t="s">
        <v>192</v>
      </c>
      <c r="C102" s="134">
        <f>10*ROUND(C98/10,0)</f>
        <v>2070</v>
      </c>
      <c r="D102" s="134">
        <f t="shared" ref="D102:F102" si="40">10*ROUND(D98/10,0)</f>
        <v>2280</v>
      </c>
      <c r="E102" s="134">
        <f>10*ROUND(E98/10,0)</f>
        <v>2070</v>
      </c>
      <c r="F102" s="134">
        <f t="shared" si="40"/>
        <v>2070</v>
      </c>
      <c r="G102" s="134">
        <f t="shared" ref="G102" si="41">10*ROUND(G98/10,0)</f>
        <v>2070</v>
      </c>
      <c r="H102" s="134"/>
    </row>
    <row r="103" spans="1:12" x14ac:dyDescent="0.2">
      <c r="A103" s="122" t="s">
        <v>193</v>
      </c>
      <c r="C103" s="134">
        <f>10*ROUND((C75-C97-C102-C101)/10,0)</f>
        <v>930</v>
      </c>
      <c r="D103" s="134">
        <f t="shared" ref="D103:F103" si="42">10*ROUND((D75-D97-D102-D101)/10,0)</f>
        <v>2400</v>
      </c>
      <c r="E103" s="134">
        <f>10*ROUND((E75-E97-E102-E101)/10,0)</f>
        <v>1300</v>
      </c>
      <c r="F103" s="134">
        <f t="shared" si="42"/>
        <v>1300</v>
      </c>
      <c r="G103" s="134">
        <f t="shared" ref="G103" si="43">10*ROUND((G75-G97-G102-G101)/10,0)</f>
        <v>470</v>
      </c>
      <c r="H103" s="134"/>
    </row>
    <row r="106" spans="1:12" x14ac:dyDescent="0.2">
      <c r="A106" s="122" t="s">
        <v>151</v>
      </c>
      <c r="B106" s="51" t="s">
        <v>180</v>
      </c>
      <c r="C106" s="125" t="e">
        <f>'Haustechnikvarianten berechnen'!#REF!</f>
        <v>#REF!</v>
      </c>
      <c r="E106" s="51" t="s">
        <v>94</v>
      </c>
      <c r="F106" s="125" t="e">
        <f>'Haustechnikvarianten berechnen'!#REF!</f>
        <v>#REF!</v>
      </c>
      <c r="H106" t="e">
        <f>C106*F106</f>
        <v>#REF!</v>
      </c>
    </row>
    <row r="109" spans="1:12" x14ac:dyDescent="0.2">
      <c r="A109" t="s">
        <v>156</v>
      </c>
      <c r="B109" t="s">
        <v>157</v>
      </c>
      <c r="H109" t="s">
        <v>159</v>
      </c>
      <c r="I109" s="125" t="e">
        <f>'Haustechnikvarianten berechnen'!#REF!</f>
        <v>#REF!</v>
      </c>
      <c r="J109" t="s">
        <v>15</v>
      </c>
      <c r="K109" s="102" t="e">
        <f>I109/365</f>
        <v>#REF!</v>
      </c>
      <c r="L109" t="s">
        <v>158</v>
      </c>
    </row>
    <row r="110" spans="1:12" x14ac:dyDescent="0.2">
      <c r="B110" t="s">
        <v>160</v>
      </c>
    </row>
    <row r="111" spans="1:12" x14ac:dyDescent="0.2">
      <c r="A111" s="126" t="s">
        <v>161</v>
      </c>
      <c r="B111" s="126" t="s">
        <v>162</v>
      </c>
      <c r="C111" s="126" t="s">
        <v>163</v>
      </c>
      <c r="D111" s="126" t="s">
        <v>164</v>
      </c>
      <c r="E111" s="126" t="s">
        <v>165</v>
      </c>
      <c r="F111" s="132" t="s">
        <v>181</v>
      </c>
      <c r="G111" s="132" t="s">
        <v>182</v>
      </c>
      <c r="H111" s="126" t="s">
        <v>166</v>
      </c>
    </row>
    <row r="112" spans="1:12" x14ac:dyDescent="0.2">
      <c r="A112" s="126" t="s">
        <v>167</v>
      </c>
      <c r="B112" s="126">
        <v>31</v>
      </c>
      <c r="C112" s="127">
        <v>155.31</v>
      </c>
      <c r="D112" s="128">
        <v>1.4314285714285713</v>
      </c>
      <c r="E112" s="126">
        <v>7</v>
      </c>
      <c r="F112" s="127" t="e">
        <f>C112/$C$124*$H$106</f>
        <v>#REF!</v>
      </c>
      <c r="G112" s="127" t="e">
        <f>$K$109*B112</f>
        <v>#REF!</v>
      </c>
      <c r="H112" s="127" t="e">
        <f>IF(F112&gt;G112,G112,F112)</f>
        <v>#REF!</v>
      </c>
    </row>
    <row r="113" spans="1:9" x14ac:dyDescent="0.2">
      <c r="A113" s="126" t="s">
        <v>168</v>
      </c>
      <c r="B113" s="126">
        <v>28</v>
      </c>
      <c r="C113" s="127">
        <v>222.6</v>
      </c>
      <c r="D113" s="128">
        <v>1.8705882352941177</v>
      </c>
      <c r="E113" s="126">
        <v>8.5</v>
      </c>
      <c r="F113" s="127" t="e">
        <f t="shared" ref="F113:F123" si="44">C113/$C$124*$H$106</f>
        <v>#REF!</v>
      </c>
      <c r="G113" s="127" t="e">
        <f t="shared" ref="G113:G123" si="45">$K$109*B113</f>
        <v>#REF!</v>
      </c>
      <c r="H113" s="127" t="e">
        <f t="shared" ref="H113:H123" si="46">IF(F113&gt;G113,G113,F113)</f>
        <v>#REF!</v>
      </c>
    </row>
    <row r="114" spans="1:9" x14ac:dyDescent="0.2">
      <c r="A114" s="126" t="s">
        <v>169</v>
      </c>
      <c r="B114" s="126">
        <v>31</v>
      </c>
      <c r="C114" s="127">
        <v>452.6</v>
      </c>
      <c r="D114" s="128">
        <v>2.8627450980392157</v>
      </c>
      <c r="E114" s="126">
        <v>10.199999999999999</v>
      </c>
      <c r="F114" s="127" t="e">
        <f t="shared" si="44"/>
        <v>#REF!</v>
      </c>
      <c r="G114" s="127" t="e">
        <f t="shared" si="45"/>
        <v>#REF!</v>
      </c>
      <c r="H114" s="127" t="e">
        <f t="shared" si="46"/>
        <v>#REF!</v>
      </c>
    </row>
    <row r="115" spans="1:9" x14ac:dyDescent="0.2">
      <c r="A115" s="126" t="s">
        <v>170</v>
      </c>
      <c r="B115" s="126">
        <v>30</v>
      </c>
      <c r="C115" s="127">
        <v>570</v>
      </c>
      <c r="D115" s="128">
        <v>3.1147540983606561</v>
      </c>
      <c r="E115" s="126">
        <v>12.2</v>
      </c>
      <c r="F115" s="127" t="e">
        <f t="shared" si="44"/>
        <v>#REF!</v>
      </c>
      <c r="G115" s="127" t="e">
        <f t="shared" si="45"/>
        <v>#REF!</v>
      </c>
      <c r="H115" s="127" t="e">
        <f t="shared" si="46"/>
        <v>#REF!</v>
      </c>
    </row>
    <row r="116" spans="1:9" x14ac:dyDescent="0.2">
      <c r="A116" s="126" t="s">
        <v>171</v>
      </c>
      <c r="B116" s="126">
        <v>31</v>
      </c>
      <c r="C116" s="127">
        <v>598.29999999999995</v>
      </c>
      <c r="D116" s="128">
        <v>2.9242424242424243</v>
      </c>
      <c r="E116" s="126">
        <v>13.2</v>
      </c>
      <c r="F116" s="127" t="e">
        <f t="shared" si="44"/>
        <v>#REF!</v>
      </c>
      <c r="G116" s="127" t="e">
        <f t="shared" si="45"/>
        <v>#REF!</v>
      </c>
      <c r="H116" s="127" t="e">
        <f t="shared" si="46"/>
        <v>#REF!</v>
      </c>
    </row>
    <row r="117" spans="1:9" x14ac:dyDescent="0.2">
      <c r="A117" s="126" t="s">
        <v>172</v>
      </c>
      <c r="B117" s="126">
        <v>30</v>
      </c>
      <c r="C117" s="127">
        <v>579</v>
      </c>
      <c r="D117" s="128">
        <v>2.71830985915493</v>
      </c>
      <c r="E117" s="126">
        <v>14.2</v>
      </c>
      <c r="F117" s="127" t="e">
        <f t="shared" si="44"/>
        <v>#REF!</v>
      </c>
      <c r="G117" s="127" t="e">
        <f t="shared" si="45"/>
        <v>#REF!</v>
      </c>
      <c r="H117" s="127" t="e">
        <f t="shared" si="46"/>
        <v>#REF!</v>
      </c>
    </row>
    <row r="118" spans="1:9" x14ac:dyDescent="0.2">
      <c r="A118" s="126" t="s">
        <v>173</v>
      </c>
      <c r="B118" s="126">
        <v>31</v>
      </c>
      <c r="C118" s="127">
        <v>579.70000000000005</v>
      </c>
      <c r="D118" s="128">
        <v>2.615384615384615</v>
      </c>
      <c r="E118" s="126">
        <v>14.3</v>
      </c>
      <c r="F118" s="127" t="e">
        <f t="shared" si="44"/>
        <v>#REF!</v>
      </c>
      <c r="G118" s="127" t="e">
        <f t="shared" si="45"/>
        <v>#REF!</v>
      </c>
      <c r="H118" s="127" t="e">
        <f t="shared" si="46"/>
        <v>#REF!</v>
      </c>
    </row>
    <row r="119" spans="1:9" x14ac:dyDescent="0.2">
      <c r="A119" s="126" t="s">
        <v>174</v>
      </c>
      <c r="B119" s="126">
        <v>31</v>
      </c>
      <c r="C119" s="127">
        <v>554.9</v>
      </c>
      <c r="D119" s="128">
        <v>2.7121212121212119</v>
      </c>
      <c r="E119" s="126">
        <v>13.2</v>
      </c>
      <c r="F119" s="127" t="e">
        <f t="shared" si="44"/>
        <v>#REF!</v>
      </c>
      <c r="G119" s="127" t="e">
        <f t="shared" si="45"/>
        <v>#REF!</v>
      </c>
      <c r="H119" s="127" t="e">
        <f t="shared" si="46"/>
        <v>#REF!</v>
      </c>
    </row>
    <row r="120" spans="1:9" x14ac:dyDescent="0.2">
      <c r="A120" s="126" t="s">
        <v>175</v>
      </c>
      <c r="B120" s="126">
        <v>30</v>
      </c>
      <c r="C120" s="127">
        <v>441</v>
      </c>
      <c r="D120" s="128">
        <v>2.4098360655737707</v>
      </c>
      <c r="E120" s="126">
        <v>12.2</v>
      </c>
      <c r="F120" s="127" t="e">
        <f t="shared" si="44"/>
        <v>#REF!</v>
      </c>
      <c r="G120" s="127" t="e">
        <f t="shared" si="45"/>
        <v>#REF!</v>
      </c>
      <c r="H120" s="127" t="e">
        <f t="shared" si="46"/>
        <v>#REF!</v>
      </c>
    </row>
    <row r="121" spans="1:9" x14ac:dyDescent="0.2">
      <c r="A121" s="126" t="s">
        <v>176</v>
      </c>
      <c r="B121" s="126">
        <v>31</v>
      </c>
      <c r="C121" s="127">
        <v>341</v>
      </c>
      <c r="D121" s="128">
        <v>2</v>
      </c>
      <c r="E121" s="126">
        <v>11</v>
      </c>
      <c r="F121" s="127" t="e">
        <f t="shared" si="44"/>
        <v>#REF!</v>
      </c>
      <c r="G121" s="127" t="e">
        <f t="shared" si="45"/>
        <v>#REF!</v>
      </c>
      <c r="H121" s="127" t="e">
        <f t="shared" si="46"/>
        <v>#REF!</v>
      </c>
    </row>
    <row r="122" spans="1:9" x14ac:dyDescent="0.2">
      <c r="A122" s="126" t="s">
        <v>177</v>
      </c>
      <c r="B122" s="126">
        <v>30</v>
      </c>
      <c r="C122" s="127">
        <v>177.3</v>
      </c>
      <c r="D122" s="128">
        <v>1.3133333333333335</v>
      </c>
      <c r="E122" s="126">
        <v>9</v>
      </c>
      <c r="F122" s="127" t="e">
        <f t="shared" si="44"/>
        <v>#REF!</v>
      </c>
      <c r="G122" s="127" t="e">
        <f t="shared" si="45"/>
        <v>#REF!</v>
      </c>
      <c r="H122" s="127" t="e">
        <f t="shared" si="46"/>
        <v>#REF!</v>
      </c>
    </row>
    <row r="123" spans="1:9" x14ac:dyDescent="0.2">
      <c r="A123" s="126" t="s">
        <v>178</v>
      </c>
      <c r="B123" s="126">
        <v>31</v>
      </c>
      <c r="C123" s="127">
        <v>133.30000000000001</v>
      </c>
      <c r="D123" s="128">
        <v>1.2285714285714284</v>
      </c>
      <c r="E123" s="126">
        <v>7</v>
      </c>
      <c r="F123" s="127" t="e">
        <f t="shared" si="44"/>
        <v>#REF!</v>
      </c>
      <c r="G123" s="127" t="e">
        <f t="shared" si="45"/>
        <v>#REF!</v>
      </c>
      <c r="H123" s="127" t="e">
        <f t="shared" si="46"/>
        <v>#REF!</v>
      </c>
    </row>
    <row r="124" spans="1:9" x14ac:dyDescent="0.2">
      <c r="A124" s="129" t="s">
        <v>179</v>
      </c>
      <c r="B124" s="129">
        <v>365</v>
      </c>
      <c r="C124" s="130">
        <v>4805.01</v>
      </c>
      <c r="D124" s="126"/>
      <c r="E124" s="126"/>
      <c r="F124" s="127" t="e">
        <f>SUM(F112:F123)</f>
        <v>#REF!</v>
      </c>
      <c r="G124" s="127" t="e">
        <f>SUM(G112:G123)</f>
        <v>#REF!</v>
      </c>
      <c r="H124" s="127" t="e">
        <f>SUM(H112:H123)</f>
        <v>#REF!</v>
      </c>
    </row>
    <row r="126" spans="1:9" x14ac:dyDescent="0.2">
      <c r="I126" s="127"/>
    </row>
    <row r="127" spans="1:9" x14ac:dyDescent="0.2">
      <c r="A127" s="122" t="s">
        <v>152</v>
      </c>
      <c r="B127" s="51" t="s">
        <v>180</v>
      </c>
      <c r="C127" s="125" t="e">
        <f>'Haustechnikvarianten berechnen'!#REF!</f>
        <v>#REF!</v>
      </c>
      <c r="E127" s="51" t="s">
        <v>94</v>
      </c>
      <c r="F127" s="125" t="e">
        <f>'Haustechnikvarianten berechnen'!#REF!</f>
        <v>#REF!</v>
      </c>
      <c r="H127" t="e">
        <f>C127*F127</f>
        <v>#REF!</v>
      </c>
    </row>
    <row r="130" spans="1:14" x14ac:dyDescent="0.2">
      <c r="A130" t="s">
        <v>156</v>
      </c>
      <c r="B130" t="s">
        <v>157</v>
      </c>
      <c r="H130" t="s">
        <v>159</v>
      </c>
      <c r="I130" s="125" t="e">
        <f>'Haustechnikvarianten berechnen'!#REF!</f>
        <v>#REF!</v>
      </c>
      <c r="J130" t="s">
        <v>15</v>
      </c>
      <c r="K130" s="102" t="e">
        <f>I130/365</f>
        <v>#REF!</v>
      </c>
      <c r="L130" t="s">
        <v>158</v>
      </c>
      <c r="M130" s="51" t="s">
        <v>183</v>
      </c>
      <c r="N130" s="125" t="e">
        <f>'Haustechnikvarianten berechnen'!#REF!</f>
        <v>#REF!</v>
      </c>
    </row>
    <row r="131" spans="1:14" x14ac:dyDescent="0.2">
      <c r="B131" t="s">
        <v>160</v>
      </c>
    </row>
    <row r="132" spans="1:14" x14ac:dyDescent="0.2">
      <c r="A132" s="126" t="s">
        <v>161</v>
      </c>
      <c r="B132" s="126" t="s">
        <v>162</v>
      </c>
      <c r="C132" s="126" t="s">
        <v>163</v>
      </c>
      <c r="D132" s="126" t="s">
        <v>164</v>
      </c>
      <c r="E132" s="126" t="s">
        <v>165</v>
      </c>
      <c r="F132" s="132" t="s">
        <v>181</v>
      </c>
      <c r="G132" s="132" t="s">
        <v>182</v>
      </c>
      <c r="H132" s="126" t="s">
        <v>166</v>
      </c>
      <c r="I132" s="132" t="s">
        <v>184</v>
      </c>
      <c r="J132" s="132" t="s">
        <v>185</v>
      </c>
      <c r="K132" s="132" t="s">
        <v>166</v>
      </c>
    </row>
    <row r="133" spans="1:14" x14ac:dyDescent="0.2">
      <c r="A133" s="126" t="s">
        <v>167</v>
      </c>
      <c r="B133" s="126">
        <v>31</v>
      </c>
      <c r="C133" s="127">
        <v>155.31</v>
      </c>
      <c r="D133" s="128">
        <v>1.4314285714285713</v>
      </c>
      <c r="E133" s="126">
        <v>7</v>
      </c>
      <c r="F133" s="127" t="e">
        <f>C133/$C$145*$H$127</f>
        <v>#REF!</v>
      </c>
      <c r="G133" s="127" t="e">
        <f>$K$109*B133</f>
        <v>#REF!</v>
      </c>
      <c r="H133" s="127" t="e">
        <f>IF(F133&gt;G133,G133,F133)</f>
        <v>#REF!</v>
      </c>
      <c r="I133" s="127">
        <v>170</v>
      </c>
      <c r="J133" s="127" t="e">
        <f>$N$130*I133/$I$145</f>
        <v>#REF!</v>
      </c>
      <c r="K133" s="127" t="e">
        <f>IF((F133-H133)&gt;0,IF((F133-H133)&gt;J133,J133,(F133-H133)),0)</f>
        <v>#REF!</v>
      </c>
      <c r="L133" s="131" t="e">
        <f>H133+K133</f>
        <v>#REF!</v>
      </c>
    </row>
    <row r="134" spans="1:14" x14ac:dyDescent="0.2">
      <c r="A134" s="126" t="s">
        <v>168</v>
      </c>
      <c r="B134" s="126">
        <v>28</v>
      </c>
      <c r="C134" s="127">
        <v>222.6</v>
      </c>
      <c r="D134" s="128">
        <v>1.8705882352941177</v>
      </c>
      <c r="E134" s="126">
        <v>8.5</v>
      </c>
      <c r="F134" s="127" t="e">
        <f t="shared" ref="F134:F144" si="47">C134/$C$145*$H$127</f>
        <v>#REF!</v>
      </c>
      <c r="G134" s="127" t="e">
        <f t="shared" ref="G134:G144" si="48">$K$109*B134</f>
        <v>#REF!</v>
      </c>
      <c r="H134" s="127" t="e">
        <f t="shared" ref="H134:H144" si="49">IF(F134&gt;G134,G134,F134)</f>
        <v>#REF!</v>
      </c>
      <c r="I134" s="127">
        <v>150</v>
      </c>
      <c r="J134" s="127" t="e">
        <f t="shared" ref="J134:J144" si="50">$N$130*I134/$I$145</f>
        <v>#REF!</v>
      </c>
      <c r="K134" s="127" t="e">
        <f t="shared" ref="K134:K145" si="51">IF((F134-H134)&gt;0,IF((F134-H134)&gt;J134,J134,(F134-H134)),0)</f>
        <v>#REF!</v>
      </c>
      <c r="L134" s="131" t="e">
        <f t="shared" ref="L134:L144" si="52">H134+K134</f>
        <v>#REF!</v>
      </c>
    </row>
    <row r="135" spans="1:14" x14ac:dyDescent="0.2">
      <c r="A135" s="126" t="s">
        <v>169</v>
      </c>
      <c r="B135" s="126">
        <v>31</v>
      </c>
      <c r="C135" s="127">
        <v>452.6</v>
      </c>
      <c r="D135" s="128">
        <v>2.8627450980392157</v>
      </c>
      <c r="E135" s="126">
        <v>10.199999999999999</v>
      </c>
      <c r="F135" s="127" t="e">
        <f t="shared" si="47"/>
        <v>#REF!</v>
      </c>
      <c r="G135" s="127" t="e">
        <f t="shared" si="48"/>
        <v>#REF!</v>
      </c>
      <c r="H135" s="127" t="e">
        <f t="shared" si="49"/>
        <v>#REF!</v>
      </c>
      <c r="I135" s="127">
        <v>130</v>
      </c>
      <c r="J135" s="127" t="e">
        <f t="shared" si="50"/>
        <v>#REF!</v>
      </c>
      <c r="K135" s="127" t="e">
        <f t="shared" si="51"/>
        <v>#REF!</v>
      </c>
      <c r="L135" s="131" t="e">
        <f t="shared" si="52"/>
        <v>#REF!</v>
      </c>
    </row>
    <row r="136" spans="1:14" x14ac:dyDescent="0.2">
      <c r="A136" s="126" t="s">
        <v>170</v>
      </c>
      <c r="B136" s="126">
        <v>30</v>
      </c>
      <c r="C136" s="127">
        <v>570</v>
      </c>
      <c r="D136" s="128">
        <v>3.1147540983606561</v>
      </c>
      <c r="E136" s="126">
        <v>12.2</v>
      </c>
      <c r="F136" s="127" t="e">
        <f t="shared" si="47"/>
        <v>#REF!</v>
      </c>
      <c r="G136" s="127" t="e">
        <f t="shared" si="48"/>
        <v>#REF!</v>
      </c>
      <c r="H136" s="127" t="e">
        <f t="shared" si="49"/>
        <v>#REF!</v>
      </c>
      <c r="I136" s="127">
        <v>80</v>
      </c>
      <c r="J136" s="127" t="e">
        <f t="shared" si="50"/>
        <v>#REF!</v>
      </c>
      <c r="K136" s="127" t="e">
        <f t="shared" si="51"/>
        <v>#REF!</v>
      </c>
      <c r="L136" s="131" t="e">
        <f t="shared" si="52"/>
        <v>#REF!</v>
      </c>
    </row>
    <row r="137" spans="1:14" x14ac:dyDescent="0.2">
      <c r="A137" s="126" t="s">
        <v>171</v>
      </c>
      <c r="B137" s="126">
        <v>31</v>
      </c>
      <c r="C137" s="127">
        <v>598.29999999999995</v>
      </c>
      <c r="D137" s="128">
        <v>2.9242424242424243</v>
      </c>
      <c r="E137" s="126">
        <v>13.2</v>
      </c>
      <c r="F137" s="127" t="e">
        <f t="shared" si="47"/>
        <v>#REF!</v>
      </c>
      <c r="G137" s="127" t="e">
        <f t="shared" si="48"/>
        <v>#REF!</v>
      </c>
      <c r="H137" s="127" t="e">
        <f t="shared" si="49"/>
        <v>#REF!</v>
      </c>
      <c r="I137" s="127">
        <v>40</v>
      </c>
      <c r="J137" s="127" t="e">
        <f t="shared" si="50"/>
        <v>#REF!</v>
      </c>
      <c r="K137" s="127" t="e">
        <f t="shared" si="51"/>
        <v>#REF!</v>
      </c>
      <c r="L137" s="131" t="e">
        <f t="shared" si="52"/>
        <v>#REF!</v>
      </c>
    </row>
    <row r="138" spans="1:14" x14ac:dyDescent="0.2">
      <c r="A138" s="126" t="s">
        <v>172</v>
      </c>
      <c r="B138" s="126">
        <v>30</v>
      </c>
      <c r="C138" s="127">
        <v>579</v>
      </c>
      <c r="D138" s="128">
        <v>2.71830985915493</v>
      </c>
      <c r="E138" s="126">
        <v>14.2</v>
      </c>
      <c r="F138" s="127" t="e">
        <f t="shared" si="47"/>
        <v>#REF!</v>
      </c>
      <c r="G138" s="127" t="e">
        <f t="shared" si="48"/>
        <v>#REF!</v>
      </c>
      <c r="H138" s="127" t="e">
        <f t="shared" si="49"/>
        <v>#REF!</v>
      </c>
      <c r="I138" s="127">
        <v>0</v>
      </c>
      <c r="J138" s="127" t="e">
        <f t="shared" si="50"/>
        <v>#REF!</v>
      </c>
      <c r="K138" s="127" t="e">
        <f t="shared" si="51"/>
        <v>#REF!</v>
      </c>
      <c r="L138" s="131" t="e">
        <f t="shared" si="52"/>
        <v>#REF!</v>
      </c>
    </row>
    <row r="139" spans="1:14" x14ac:dyDescent="0.2">
      <c r="A139" s="126" t="s">
        <v>173</v>
      </c>
      <c r="B139" s="126">
        <v>31</v>
      </c>
      <c r="C139" s="127">
        <v>579.70000000000005</v>
      </c>
      <c r="D139" s="128">
        <v>2.615384615384615</v>
      </c>
      <c r="E139" s="126">
        <v>14.3</v>
      </c>
      <c r="F139" s="127" t="e">
        <f t="shared" si="47"/>
        <v>#REF!</v>
      </c>
      <c r="G139" s="127" t="e">
        <f t="shared" si="48"/>
        <v>#REF!</v>
      </c>
      <c r="H139" s="127" t="e">
        <f t="shared" si="49"/>
        <v>#REF!</v>
      </c>
      <c r="I139" s="127">
        <v>0</v>
      </c>
      <c r="J139" s="127" t="e">
        <f t="shared" si="50"/>
        <v>#REF!</v>
      </c>
      <c r="K139" s="127" t="e">
        <f t="shared" si="51"/>
        <v>#REF!</v>
      </c>
      <c r="L139" s="131" t="e">
        <f t="shared" si="52"/>
        <v>#REF!</v>
      </c>
    </row>
    <row r="140" spans="1:14" x14ac:dyDescent="0.2">
      <c r="A140" s="126" t="s">
        <v>174</v>
      </c>
      <c r="B140" s="126">
        <v>31</v>
      </c>
      <c r="C140" s="127">
        <v>554.9</v>
      </c>
      <c r="D140" s="128">
        <v>2.7121212121212119</v>
      </c>
      <c r="E140" s="126">
        <v>13.2</v>
      </c>
      <c r="F140" s="127" t="e">
        <f t="shared" si="47"/>
        <v>#REF!</v>
      </c>
      <c r="G140" s="127" t="e">
        <f t="shared" si="48"/>
        <v>#REF!</v>
      </c>
      <c r="H140" s="127" t="e">
        <f t="shared" si="49"/>
        <v>#REF!</v>
      </c>
      <c r="I140" s="127">
        <v>0</v>
      </c>
      <c r="J140" s="127" t="e">
        <f t="shared" si="50"/>
        <v>#REF!</v>
      </c>
      <c r="K140" s="127" t="e">
        <f t="shared" si="51"/>
        <v>#REF!</v>
      </c>
      <c r="L140" s="131" t="e">
        <f t="shared" si="52"/>
        <v>#REF!</v>
      </c>
    </row>
    <row r="141" spans="1:14" x14ac:dyDescent="0.2">
      <c r="A141" s="126" t="s">
        <v>175</v>
      </c>
      <c r="B141" s="126">
        <v>30</v>
      </c>
      <c r="C141" s="127">
        <v>441</v>
      </c>
      <c r="D141" s="128">
        <v>2.4098360655737707</v>
      </c>
      <c r="E141" s="126">
        <v>12.2</v>
      </c>
      <c r="F141" s="127" t="e">
        <f t="shared" si="47"/>
        <v>#REF!</v>
      </c>
      <c r="G141" s="127" t="e">
        <f t="shared" si="48"/>
        <v>#REF!</v>
      </c>
      <c r="H141" s="127" t="e">
        <f t="shared" si="49"/>
        <v>#REF!</v>
      </c>
      <c r="I141" s="127">
        <v>30</v>
      </c>
      <c r="J141" s="127" t="e">
        <f t="shared" si="50"/>
        <v>#REF!</v>
      </c>
      <c r="K141" s="127" t="e">
        <f t="shared" si="51"/>
        <v>#REF!</v>
      </c>
      <c r="L141" s="131" t="e">
        <f t="shared" si="52"/>
        <v>#REF!</v>
      </c>
    </row>
    <row r="142" spans="1:14" x14ac:dyDescent="0.2">
      <c r="A142" s="126" t="s">
        <v>176</v>
      </c>
      <c r="B142" s="126">
        <v>31</v>
      </c>
      <c r="C142" s="127">
        <v>341</v>
      </c>
      <c r="D142" s="128">
        <v>2</v>
      </c>
      <c r="E142" s="126">
        <v>11</v>
      </c>
      <c r="F142" s="127" t="e">
        <f t="shared" si="47"/>
        <v>#REF!</v>
      </c>
      <c r="G142" s="127" t="e">
        <f t="shared" si="48"/>
        <v>#REF!</v>
      </c>
      <c r="H142" s="127" t="e">
        <f t="shared" si="49"/>
        <v>#REF!</v>
      </c>
      <c r="I142" s="127">
        <v>80</v>
      </c>
      <c r="J142" s="127" t="e">
        <f t="shared" si="50"/>
        <v>#REF!</v>
      </c>
      <c r="K142" s="127" t="e">
        <f t="shared" si="51"/>
        <v>#REF!</v>
      </c>
      <c r="L142" s="131" t="e">
        <f t="shared" si="52"/>
        <v>#REF!</v>
      </c>
    </row>
    <row r="143" spans="1:14" x14ac:dyDescent="0.2">
      <c r="A143" s="126" t="s">
        <v>177</v>
      </c>
      <c r="B143" s="126">
        <v>30</v>
      </c>
      <c r="C143" s="127">
        <v>177.3</v>
      </c>
      <c r="D143" s="128">
        <v>1.3133333333333335</v>
      </c>
      <c r="E143" s="126">
        <v>9</v>
      </c>
      <c r="F143" s="127" t="e">
        <f t="shared" si="47"/>
        <v>#REF!</v>
      </c>
      <c r="G143" s="127" t="e">
        <f t="shared" si="48"/>
        <v>#REF!</v>
      </c>
      <c r="H143" s="127" t="e">
        <f t="shared" si="49"/>
        <v>#REF!</v>
      </c>
      <c r="I143" s="127">
        <v>120</v>
      </c>
      <c r="J143" s="127" t="e">
        <f t="shared" si="50"/>
        <v>#REF!</v>
      </c>
      <c r="K143" s="127" t="e">
        <f t="shared" si="51"/>
        <v>#REF!</v>
      </c>
      <c r="L143" s="131" t="e">
        <f t="shared" si="52"/>
        <v>#REF!</v>
      </c>
    </row>
    <row r="144" spans="1:14" x14ac:dyDescent="0.2">
      <c r="A144" s="126" t="s">
        <v>178</v>
      </c>
      <c r="B144" s="126">
        <v>31</v>
      </c>
      <c r="C144" s="127">
        <v>133.30000000000001</v>
      </c>
      <c r="D144" s="128">
        <v>1.2285714285714284</v>
      </c>
      <c r="E144" s="126">
        <v>7</v>
      </c>
      <c r="F144" s="127" t="e">
        <f t="shared" si="47"/>
        <v>#REF!</v>
      </c>
      <c r="G144" s="127" t="e">
        <f t="shared" si="48"/>
        <v>#REF!</v>
      </c>
      <c r="H144" s="127" t="e">
        <f t="shared" si="49"/>
        <v>#REF!</v>
      </c>
      <c r="I144" s="127">
        <v>160</v>
      </c>
      <c r="J144" s="127" t="e">
        <f t="shared" si="50"/>
        <v>#REF!</v>
      </c>
      <c r="K144" s="127" t="e">
        <f t="shared" si="51"/>
        <v>#REF!</v>
      </c>
      <c r="L144" s="131" t="e">
        <f t="shared" si="52"/>
        <v>#REF!</v>
      </c>
    </row>
    <row r="145" spans="1:12" x14ac:dyDescent="0.2">
      <c r="A145" s="129" t="s">
        <v>179</v>
      </c>
      <c r="B145" s="129">
        <v>365</v>
      </c>
      <c r="C145" s="130">
        <v>4805.01</v>
      </c>
      <c r="D145" s="126"/>
      <c r="E145" s="126"/>
      <c r="F145" s="127" t="e">
        <f>SUM(F133:F144)</f>
        <v>#REF!</v>
      </c>
      <c r="G145" s="127" t="e">
        <f>SUM(G133:G144)</f>
        <v>#REF!</v>
      </c>
      <c r="H145" s="127" t="e">
        <f>SUM(H133:H144)</f>
        <v>#REF!</v>
      </c>
      <c r="I145" s="127">
        <f>SUM(I133:I144)</f>
        <v>960</v>
      </c>
      <c r="J145" s="127" t="e">
        <f>SUM(J133:J144)</f>
        <v>#REF!</v>
      </c>
      <c r="K145" s="127" t="e">
        <f t="shared" si="51"/>
        <v>#REF!</v>
      </c>
      <c r="L145" s="131" t="e">
        <f>SUM(L133:L144)</f>
        <v>#REF!</v>
      </c>
    </row>
    <row r="147" spans="1:12" x14ac:dyDescent="0.2">
      <c r="I147" s="127"/>
    </row>
    <row r="148" spans="1:12" x14ac:dyDescent="0.2">
      <c r="A148" s="51" t="s">
        <v>110</v>
      </c>
      <c r="C148" s="102">
        <f>C25</f>
        <v>17520</v>
      </c>
      <c r="E148" s="51" t="s">
        <v>110</v>
      </c>
      <c r="G148" s="102">
        <f>C148</f>
        <v>17520</v>
      </c>
      <c r="I148" s="51"/>
      <c r="K148" s="102"/>
    </row>
    <row r="149" spans="1:12" x14ac:dyDescent="0.2">
      <c r="A149" s="51" t="s">
        <v>202</v>
      </c>
      <c r="C149" s="102">
        <f>B8</f>
        <v>1600</v>
      </c>
      <c r="E149" s="51" t="s">
        <v>202</v>
      </c>
      <c r="G149">
        <f>C149</f>
        <v>1600</v>
      </c>
      <c r="I149" s="51"/>
    </row>
    <row r="150" spans="1:12" x14ac:dyDescent="0.2">
      <c r="A150" s="51" t="s">
        <v>198</v>
      </c>
      <c r="C150" s="141">
        <f>'Haustechnikvarianten berechnen'!C48</f>
        <v>4.5</v>
      </c>
      <c r="E150" s="51" t="s">
        <v>198</v>
      </c>
      <c r="G150" s="141">
        <f>'Haustechnikvarianten berechnen'!C48</f>
        <v>4.5</v>
      </c>
      <c r="I150" s="51"/>
      <c r="K150" s="141"/>
    </row>
    <row r="151" spans="1:12" x14ac:dyDescent="0.2">
      <c r="A151" s="51" t="s">
        <v>199</v>
      </c>
      <c r="C151">
        <f>10*ROUND((C149+C148)/18000,2)</f>
        <v>10.600000000000001</v>
      </c>
      <c r="E151" s="51" t="s">
        <v>199</v>
      </c>
      <c r="G151">
        <f>10*ROUND((G149+G148)/18000,2)</f>
        <v>10.600000000000001</v>
      </c>
      <c r="I151" s="51"/>
    </row>
    <row r="152" spans="1:12" x14ac:dyDescent="0.2">
      <c r="A152" s="51"/>
      <c r="E152" s="51" t="s">
        <v>228</v>
      </c>
      <c r="G152">
        <f>(G148+G149)*(G150-1)/G150</f>
        <v>14871.111111111111</v>
      </c>
      <c r="I152" s="51"/>
    </row>
    <row r="153" spans="1:12" x14ac:dyDescent="0.2">
      <c r="A153" s="51" t="s">
        <v>200</v>
      </c>
      <c r="C153">
        <f>10*ROUND(C151*(C150-1)/C150/0.05*1.3/10,1)</f>
        <v>214</v>
      </c>
      <c r="E153" s="51" t="s">
        <v>263</v>
      </c>
      <c r="G153">
        <f>10*ROUND(1.144*'Haustechnikvarianten berechnen'!$B$27/10,1)</f>
        <v>517</v>
      </c>
      <c r="I153" s="51"/>
    </row>
    <row r="154" spans="1:12" x14ac:dyDescent="0.2">
      <c r="E154" s="51" t="s">
        <v>229</v>
      </c>
      <c r="G154">
        <f>10*ROUND(G152/G153/10,2)</f>
        <v>28.799999999999997</v>
      </c>
    </row>
    <row r="155" spans="1:12" x14ac:dyDescent="0.2">
      <c r="E155" s="51" t="s">
        <v>245</v>
      </c>
      <c r="G155" s="172">
        <f>'Haustechnikvarianten berechnen'!$B$24</f>
        <v>66</v>
      </c>
    </row>
    <row r="156" spans="1:12" x14ac:dyDescent="0.2">
      <c r="E156" s="51" t="s">
        <v>246</v>
      </c>
      <c r="G156" s="180">
        <f>MIN(G154,G155)</f>
        <v>28.799999999999997</v>
      </c>
    </row>
    <row r="157" spans="1:12" x14ac:dyDescent="0.2">
      <c r="A157" s="51" t="s">
        <v>235</v>
      </c>
      <c r="E157" s="51" t="s">
        <v>244</v>
      </c>
      <c r="G157">
        <f>IF(G156&lt;G155,0,(G154-G155)*517)</f>
        <v>0</v>
      </c>
    </row>
    <row r="158" spans="1:12" x14ac:dyDescent="0.2">
      <c r="A158" t="s">
        <v>101</v>
      </c>
      <c r="C158" s="102">
        <f>C21</f>
        <v>1000</v>
      </c>
      <c r="E158" s="51" t="s">
        <v>200</v>
      </c>
      <c r="G158">
        <f>10*ROUND(G151*G157/(G148+G149)*(G150-1)/G150/0.05*1.3/10,1)</f>
        <v>0</v>
      </c>
      <c r="I158" s="102">
        <f>G21</f>
        <v>1000</v>
      </c>
    </row>
    <row r="159" spans="1:12" x14ac:dyDescent="0.2">
      <c r="A159" t="s">
        <v>100</v>
      </c>
      <c r="C159" s="102">
        <f>C20</f>
        <v>1</v>
      </c>
      <c r="I159" s="102">
        <f>G20</f>
        <v>1</v>
      </c>
    </row>
    <row r="160" spans="1:12" x14ac:dyDescent="0.2">
      <c r="A160" t="s">
        <v>92</v>
      </c>
      <c r="C160">
        <f>C19</f>
        <v>12</v>
      </c>
      <c r="E160" s="51"/>
      <c r="I160">
        <f>G19</f>
        <v>0</v>
      </c>
    </row>
    <row r="161" spans="1:9" x14ac:dyDescent="0.2">
      <c r="A161" t="s">
        <v>236</v>
      </c>
      <c r="C161">
        <f>C158*C159*C160</f>
        <v>12000</v>
      </c>
      <c r="G161" s="102"/>
      <c r="I161">
        <f>I158*I159*I160</f>
        <v>0</v>
      </c>
    </row>
    <row r="162" spans="1:9" x14ac:dyDescent="0.2">
      <c r="A162" t="s">
        <v>95</v>
      </c>
      <c r="C162">
        <f>C33</f>
        <v>5040</v>
      </c>
      <c r="G162" s="102"/>
      <c r="I162">
        <f>G33</f>
        <v>0</v>
      </c>
    </row>
    <row r="163" spans="1:9" x14ac:dyDescent="0.2">
      <c r="A163" t="s">
        <v>237</v>
      </c>
      <c r="C163">
        <f>C161-C162</f>
        <v>6960</v>
      </c>
      <c r="I163">
        <f>I161-I162</f>
        <v>0</v>
      </c>
    </row>
    <row r="164" spans="1:9" x14ac:dyDescent="0.2">
      <c r="A164" t="s">
        <v>238</v>
      </c>
      <c r="C164">
        <v>0.2</v>
      </c>
      <c r="I164">
        <v>0</v>
      </c>
    </row>
    <row r="165" spans="1:9" x14ac:dyDescent="0.2">
      <c r="A165" t="s">
        <v>239</v>
      </c>
      <c r="C165">
        <f>C163*C164</f>
        <v>1392</v>
      </c>
      <c r="I165">
        <f>I163*I164</f>
        <v>0</v>
      </c>
    </row>
    <row r="166" spans="1:9" x14ac:dyDescent="0.2">
      <c r="A166" t="s">
        <v>233</v>
      </c>
      <c r="C166" s="102">
        <f>C162+B7</f>
        <v>8040</v>
      </c>
      <c r="I166" s="102">
        <f>I162</f>
        <v>0</v>
      </c>
    </row>
    <row r="167" spans="1:9" x14ac:dyDescent="0.2">
      <c r="A167" t="s">
        <v>240</v>
      </c>
      <c r="C167" s="102">
        <f>C24+C25-C166</f>
        <v>11080</v>
      </c>
      <c r="I167" s="102">
        <f>G24+G25-I166</f>
        <v>19120</v>
      </c>
    </row>
    <row r="168" spans="1:9" x14ac:dyDescent="0.2">
      <c r="A168" t="s">
        <v>198</v>
      </c>
      <c r="C168" s="141">
        <f>C150</f>
        <v>4.5</v>
      </c>
      <c r="I168" s="141">
        <f>'Haustechnikvarianten berechnen'!G48</f>
        <v>4</v>
      </c>
    </row>
    <row r="169" spans="1:9" x14ac:dyDescent="0.2">
      <c r="A169" t="s">
        <v>22</v>
      </c>
      <c r="C169">
        <f>C167/C168</f>
        <v>2462.2222222222222</v>
      </c>
      <c r="G169" s="102"/>
      <c r="I169">
        <f>I167/I168</f>
        <v>4780</v>
      </c>
    </row>
    <row r="170" spans="1:9" x14ac:dyDescent="0.2">
      <c r="A170" t="s">
        <v>241</v>
      </c>
      <c r="C170" s="102">
        <f>C167-C165</f>
        <v>9688</v>
      </c>
      <c r="G170" s="102"/>
      <c r="I170" s="102">
        <f>I167-I165</f>
        <v>19120</v>
      </c>
    </row>
    <row r="171" spans="1:9" x14ac:dyDescent="0.2">
      <c r="A171" t="s">
        <v>22</v>
      </c>
      <c r="C171">
        <f>10*ROUND(C170/C168/10,0)</f>
        <v>2150</v>
      </c>
      <c r="I171">
        <f>10*ROUND(I170/I168/10,0)</f>
        <v>4780</v>
      </c>
    </row>
    <row r="172" spans="1:9" x14ac:dyDescent="0.2">
      <c r="A172" t="s">
        <v>242</v>
      </c>
      <c r="C172">
        <f>10*ROUND(C167/C171/10,2)</f>
        <v>5.2</v>
      </c>
      <c r="I172">
        <f>10*ROUND(I167/I171/10,2)</f>
        <v>4</v>
      </c>
    </row>
    <row r="173" spans="1:9" x14ac:dyDescent="0.2">
      <c r="A173" t="s">
        <v>243</v>
      </c>
      <c r="C173">
        <f>C172-C168</f>
        <v>0.70000000000000018</v>
      </c>
      <c r="G173" s="102"/>
      <c r="I173">
        <f>I172-I168</f>
        <v>0</v>
      </c>
    </row>
    <row r="174" spans="1:9" x14ac:dyDescent="0.2">
      <c r="A174" s="51" t="s">
        <v>199</v>
      </c>
      <c r="C174">
        <f>10*ROUND(C167/18000,2)</f>
        <v>6.2</v>
      </c>
      <c r="I174">
        <f>10*ROUND(I167/18000,2)</f>
        <v>10.600000000000001</v>
      </c>
    </row>
    <row r="175" spans="1:9" x14ac:dyDescent="0.2">
      <c r="A175" s="51" t="s">
        <v>200</v>
      </c>
      <c r="C175">
        <f>10*ROUND(C174*(C168-1)/C168/0.05*1.3/10,0)</f>
        <v>130</v>
      </c>
    </row>
    <row r="177" spans="1:2" x14ac:dyDescent="0.2">
      <c r="A177" t="s">
        <v>280</v>
      </c>
    </row>
    <row r="178" spans="1:2" x14ac:dyDescent="0.2">
      <c r="A178" t="s">
        <v>209</v>
      </c>
      <c r="B178" s="141">
        <f>'Haustechnikvarianten berechnen'!F50</f>
        <v>0.79</v>
      </c>
    </row>
    <row r="179" spans="1:2" x14ac:dyDescent="0.2">
      <c r="A179" t="s">
        <v>110</v>
      </c>
      <c r="B179" s="102">
        <f>C25</f>
        <v>17520</v>
      </c>
    </row>
    <row r="180" spans="1:2" x14ac:dyDescent="0.2">
      <c r="A180" s="51" t="s">
        <v>281</v>
      </c>
      <c r="B180">
        <f>B179+B11</f>
        <v>19920</v>
      </c>
    </row>
    <row r="181" spans="1:2" x14ac:dyDescent="0.2">
      <c r="A181" s="51" t="s">
        <v>282</v>
      </c>
      <c r="B181">
        <f>100*ROUND(IF(B180&gt;33200,14400,IF(B180&lt;5500,B180,(B180/3+10000/3)))/100,0)</f>
        <v>10000</v>
      </c>
    </row>
    <row r="182" spans="1:2" x14ac:dyDescent="0.2">
      <c r="A182" t="s">
        <v>283</v>
      </c>
      <c r="B182">
        <f>10*ROUND((B181-F33)/B178/10,0)</f>
        <v>6280</v>
      </c>
    </row>
    <row r="184" spans="1:2" x14ac:dyDescent="0.2">
      <c r="A184" t="s">
        <v>284</v>
      </c>
    </row>
    <row r="185" spans="1:2" x14ac:dyDescent="0.2">
      <c r="A185" t="s">
        <v>209</v>
      </c>
      <c r="B185" s="141">
        <f>'Haustechnikvarianten berechnen'!E50</f>
        <v>0.81</v>
      </c>
    </row>
    <row r="186" spans="1:2" x14ac:dyDescent="0.2">
      <c r="A186" t="s">
        <v>110</v>
      </c>
      <c r="B186">
        <f>B179</f>
        <v>17520</v>
      </c>
    </row>
    <row r="187" spans="1:2" x14ac:dyDescent="0.2">
      <c r="A187" t="s">
        <v>281</v>
      </c>
      <c r="B187">
        <f>100*ROUND((B186+B11-E33)/100,1)</f>
        <v>14880.000000000002</v>
      </c>
    </row>
    <row r="188" spans="1:2" x14ac:dyDescent="0.2">
      <c r="A188" t="s">
        <v>283</v>
      </c>
      <c r="B188">
        <f>10*ROUND(B187/B185/10,0)</f>
        <v>18370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5BE2B-EC91-4DCC-8A49-7363BE66CBB8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Haustechnikvarianten gesamt</vt:lpstr>
      <vt:lpstr>Haustechnikvarianten berechnen</vt:lpstr>
      <vt:lpstr>Berechnung</vt:lpstr>
      <vt:lpstr>Tabelle2</vt:lpstr>
      <vt:lpstr>Tabelle3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Johannes Spruth</cp:lastModifiedBy>
  <cp:lastPrinted>2023-08-19T14:49:48Z</cp:lastPrinted>
  <dcterms:created xsi:type="dcterms:W3CDTF">2017-07-13T22:33:43Z</dcterms:created>
  <dcterms:modified xsi:type="dcterms:W3CDTF">2024-02-18T20:10:07Z</dcterms:modified>
</cp:coreProperties>
</file>