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atensammlung\Kleine Festplatte\Johannes\Bücher\Heizung und WW\interaktive Tabellen\"/>
    </mc:Choice>
  </mc:AlternateContent>
  <xr:revisionPtr revIDLastSave="0" documentId="13_ncr:1_{BA76C2A1-BEFD-4C1C-B984-9DF3C05C19E6}" xr6:coauthVersionLast="47" xr6:coauthVersionMax="47" xr10:uidLastSave="{00000000-0000-0000-0000-000000000000}"/>
  <workbookProtection workbookAlgorithmName="SHA-512" workbookHashValue="r/iDb60o2Q6IHkf6P9oY5EO18ST4Rf2V1dul9teQH3tuY4/qNnVt9YXueu5nBRMzuvItx9yjj4HWle2sZ+pKww==" workbookSaltValue="v1ttX8lShU7zg3LAi4/BOg==" workbookSpinCount="100000" lockStructure="1"/>
  <bookViews>
    <workbookView xWindow="-120" yWindow="-120" windowWidth="19440" windowHeight="15000" xr2:uid="{00000000-000D-0000-FFFF-FFFF00000000}"/>
  </bookViews>
  <sheets>
    <sheet name="Haustechnikvarianten gesamt" sheetId="1" r:id="rId1"/>
    <sheet name="Haustechnikvarianten berechnen" sheetId="4" r:id="rId2"/>
    <sheet name="Tabelle1" sheetId="5" r:id="rId3"/>
    <sheet name="Tabelle2" sheetId="2" r:id="rId4"/>
    <sheet name="Tabelle3" sheetId="3"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43" i="4" l="1"/>
  <c r="X43" i="4"/>
  <c r="W43" i="4"/>
  <c r="V43" i="4"/>
  <c r="T43" i="4"/>
  <c r="S43" i="4"/>
  <c r="O43" i="4"/>
  <c r="N43" i="4"/>
  <c r="H43" i="4"/>
  <c r="F43" i="4"/>
  <c r="E43" i="4"/>
  <c r="AG43" i="4"/>
  <c r="AG44" i="4" s="1"/>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H44" i="4"/>
  <c r="S44" i="4"/>
  <c r="R44" i="4"/>
  <c r="Q44" i="4"/>
  <c r="P43" i="4"/>
  <c r="P44" i="4" s="1"/>
  <c r="O44" i="4"/>
  <c r="E44" i="4"/>
  <c r="D44" i="4"/>
  <c r="D49" i="4" s="1"/>
  <c r="C44" i="4"/>
  <c r="C49" i="4" s="1"/>
  <c r="AI19" i="4"/>
  <c r="D19" i="4"/>
  <c r="D9" i="4"/>
  <c r="H56" i="1"/>
  <c r="H48" i="1"/>
  <c r="Y46" i="4"/>
  <c r="X46" i="4"/>
  <c r="W46" i="4"/>
  <c r="F46" i="4"/>
  <c r="E46" i="4"/>
  <c r="AG45" i="4"/>
  <c r="AG46" i="4" s="1"/>
  <c r="AF45" i="4"/>
  <c r="AF46" i="4" s="1"/>
  <c r="AE45" i="4"/>
  <c r="AE46" i="4" s="1"/>
  <c r="AD45" i="4"/>
  <c r="AD46" i="4" s="1"/>
  <c r="AC45" i="4"/>
  <c r="AC46" i="4" s="1"/>
  <c r="AB45" i="4"/>
  <c r="AB46" i="4" s="1"/>
  <c r="AA45" i="4"/>
  <c r="AA46" i="4" s="1"/>
  <c r="Z45" i="4"/>
  <c r="Z46" i="4" s="1"/>
  <c r="V45" i="4"/>
  <c r="V46" i="4" s="1"/>
  <c r="U45" i="4"/>
  <c r="U46" i="4" s="1"/>
  <c r="T45" i="4"/>
  <c r="T46" i="4" s="1"/>
  <c r="S45" i="4"/>
  <c r="S46" i="4" s="1"/>
  <c r="O45" i="4"/>
  <c r="O46" i="4" s="1"/>
  <c r="N45" i="4"/>
  <c r="N46" i="4" s="1"/>
  <c r="M45" i="4"/>
  <c r="M46" i="4" s="1"/>
  <c r="L45" i="4"/>
  <c r="L46" i="4" s="1"/>
  <c r="K45" i="4"/>
  <c r="K46" i="4" s="1"/>
  <c r="J45" i="4"/>
  <c r="J46" i="4" s="1"/>
  <c r="I45" i="4"/>
  <c r="I46" i="4" s="1"/>
  <c r="H45" i="4"/>
  <c r="H46" i="4" s="1"/>
  <c r="I39" i="1"/>
  <c r="I40" i="1" s="1"/>
  <c r="H39" i="1"/>
  <c r="H40" i="1" s="1"/>
  <c r="D12" i="4"/>
  <c r="D11" i="4"/>
  <c r="D10" i="4"/>
  <c r="D8" i="4"/>
  <c r="T39" i="1"/>
  <c r="S39" i="1"/>
  <c r="O39" i="1"/>
  <c r="N39" i="1"/>
  <c r="T40" i="1"/>
  <c r="S40" i="1"/>
  <c r="O40" i="1"/>
  <c r="N40" i="1"/>
  <c r="F40" i="1"/>
  <c r="E40" i="1"/>
  <c r="AG39" i="1"/>
  <c r="AG40" i="1" s="1"/>
  <c r="AF39" i="1"/>
  <c r="AF40" i="1" s="1"/>
  <c r="AE39" i="1"/>
  <c r="AE40" i="1" s="1"/>
  <c r="AD39" i="1"/>
  <c r="AD40" i="1" s="1"/>
  <c r="AC39" i="1"/>
  <c r="AC40" i="1" s="1"/>
  <c r="AB39" i="1"/>
  <c r="AB40" i="1" s="1"/>
  <c r="AA39" i="1"/>
  <c r="AA40" i="1" s="1"/>
  <c r="Z39" i="1"/>
  <c r="Z40" i="1" s="1"/>
  <c r="V39" i="1"/>
  <c r="V40" i="1" s="1"/>
  <c r="U39" i="1"/>
  <c r="U40" i="1" s="1"/>
  <c r="M39" i="1"/>
  <c r="M40" i="1" s="1"/>
  <c r="L39" i="1"/>
  <c r="L40" i="1" s="1"/>
  <c r="K39" i="1"/>
  <c r="K40" i="1" s="1"/>
  <c r="J39" i="1"/>
  <c r="J40" i="1" s="1"/>
  <c r="D18" i="4"/>
  <c r="D15" i="4"/>
  <c r="D14" i="4"/>
  <c r="D13" i="4"/>
  <c r="N42" i="1"/>
  <c r="AC42" i="1"/>
  <c r="AD42" i="1"/>
  <c r="AE42" i="1"/>
  <c r="AB42" i="1"/>
  <c r="M42" i="1"/>
  <c r="L42" i="1"/>
  <c r="S42" i="1"/>
  <c r="T42" i="1"/>
  <c r="J42" i="1"/>
  <c r="Z40" i="4"/>
  <c r="Z43" i="4" s="1"/>
  <c r="Z44" i="4" s="1"/>
  <c r="D16" i="4"/>
  <c r="Z58" i="1"/>
  <c r="Z56" i="1"/>
  <c r="Z51" i="1"/>
  <c r="Z47" i="1"/>
  <c r="Z57" i="1" s="1"/>
  <c r="Z42" i="1"/>
  <c r="Y40" i="1"/>
  <c r="Y42" i="1" s="1"/>
  <c r="Z38" i="1"/>
  <c r="Z43" i="1" s="1"/>
  <c r="Q51" i="1"/>
  <c r="R51" i="1"/>
  <c r="S51" i="1"/>
  <c r="T51" i="1"/>
  <c r="U51" i="1"/>
  <c r="V51" i="1"/>
  <c r="W51" i="1"/>
  <c r="X51" i="1"/>
  <c r="Y51" i="1"/>
  <c r="AA51" i="1"/>
  <c r="AB51" i="1"/>
  <c r="AC51" i="1"/>
  <c r="AD51" i="1"/>
  <c r="AE51" i="1"/>
  <c r="AF51" i="1"/>
  <c r="AG51" i="1"/>
  <c r="P51" i="1"/>
  <c r="Y48" i="1"/>
  <c r="X48" i="1"/>
  <c r="R48" i="1"/>
  <c r="Q48" i="1"/>
  <c r="J48" i="1"/>
  <c r="I48" i="1"/>
  <c r="D42" i="1"/>
  <c r="G42" i="1"/>
  <c r="H42" i="1"/>
  <c r="I42" i="1"/>
  <c r="P42" i="1"/>
  <c r="Q42" i="1"/>
  <c r="R42" i="1"/>
  <c r="C42" i="1"/>
  <c r="AG42" i="1"/>
  <c r="AF42" i="1"/>
  <c r="AA42" i="1"/>
  <c r="X40" i="1"/>
  <c r="X42" i="1" s="1"/>
  <c r="W40" i="1"/>
  <c r="W42" i="1" s="1"/>
  <c r="U42" i="1"/>
  <c r="O42" i="1"/>
  <c r="K42" i="1"/>
  <c r="E42" i="1"/>
  <c r="F42" i="1" l="1"/>
  <c r="V42" i="1"/>
  <c r="Z50" i="4"/>
  <c r="AI6" i="4"/>
  <c r="AI5" i="4"/>
  <c r="D6" i="4"/>
  <c r="E11" i="4"/>
  <c r="E10" i="4"/>
  <c r="D7" i="4"/>
  <c r="H51" i="1"/>
  <c r="G51" i="1"/>
  <c r="F10" i="1"/>
  <c r="F9" i="1"/>
  <c r="V48" i="1" l="1"/>
  <c r="Z48" i="1"/>
  <c r="Z53" i="1" s="1"/>
  <c r="Z53" i="4"/>
  <c r="Z52" i="4"/>
  <c r="Z56" i="4"/>
  <c r="Z57" i="4"/>
  <c r="Z65" i="4" s="1"/>
  <c r="C56" i="4"/>
  <c r="D56" i="4"/>
  <c r="E56" i="4"/>
  <c r="F56" i="4"/>
  <c r="C57" i="4"/>
  <c r="C65" i="4" s="1"/>
  <c r="D57" i="4"/>
  <c r="D65" i="4" s="1"/>
  <c r="E57" i="4"/>
  <c r="E65" i="4" s="1"/>
  <c r="F57" i="4"/>
  <c r="F65" i="4" s="1"/>
  <c r="R56" i="1"/>
  <c r="Q56" i="1"/>
  <c r="T56" i="1"/>
  <c r="S56" i="1"/>
  <c r="O56" i="1"/>
  <c r="N56" i="1"/>
  <c r="B56" i="1"/>
  <c r="O48" i="1"/>
  <c r="O53" i="1" s="1"/>
  <c r="N48" i="1"/>
  <c r="N53" i="1" s="1"/>
  <c r="B48" i="1"/>
  <c r="B53" i="1" s="1"/>
  <c r="AG40" i="4"/>
  <c r="AG50" i="4" s="1"/>
  <c r="T58" i="1"/>
  <c r="T47" i="1"/>
  <c r="T57" i="1" s="1"/>
  <c r="S58" i="1"/>
  <c r="S47" i="1"/>
  <c r="S57" i="1" s="1"/>
  <c r="P56" i="1"/>
  <c r="S38" i="1"/>
  <c r="S43" i="1" s="1"/>
  <c r="T38" i="1"/>
  <c r="T43" i="1" s="1"/>
  <c r="Y56" i="1"/>
  <c r="X56" i="1"/>
  <c r="AG56" i="1"/>
  <c r="AF56" i="1"/>
  <c r="AE56" i="1"/>
  <c r="AD56" i="1"/>
  <c r="AC56" i="1"/>
  <c r="AB56" i="1"/>
  <c r="AA56" i="1"/>
  <c r="W56" i="1"/>
  <c r="V56" i="1"/>
  <c r="U56" i="1"/>
  <c r="M56" i="1"/>
  <c r="L56" i="1"/>
  <c r="K56" i="1"/>
  <c r="J56" i="1"/>
  <c r="I56" i="1"/>
  <c r="G56" i="1"/>
  <c r="F56" i="1"/>
  <c r="E56" i="1"/>
  <c r="D56" i="1"/>
  <c r="C56" i="1"/>
  <c r="Q40" i="4"/>
  <c r="Q50" i="4" s="1"/>
  <c r="C40" i="4"/>
  <c r="C50" i="4" s="1"/>
  <c r="D40" i="4"/>
  <c r="D50" i="4" s="1"/>
  <c r="E40" i="4"/>
  <c r="E50" i="4" s="1"/>
  <c r="F40" i="4"/>
  <c r="G40" i="4"/>
  <c r="G50" i="4" s="1"/>
  <c r="H40" i="4"/>
  <c r="I40" i="4"/>
  <c r="J40" i="4"/>
  <c r="K40" i="4"/>
  <c r="L40" i="4"/>
  <c r="M40" i="4"/>
  <c r="N40" i="4"/>
  <c r="O40" i="4"/>
  <c r="P40" i="4"/>
  <c r="P50" i="4" s="1"/>
  <c r="R40" i="4"/>
  <c r="R50" i="4" s="1"/>
  <c r="S40" i="4"/>
  <c r="S50" i="4" s="1"/>
  <c r="T40" i="4"/>
  <c r="U40" i="4"/>
  <c r="V40" i="4"/>
  <c r="W40" i="4"/>
  <c r="X40" i="4"/>
  <c r="Y40" i="4"/>
  <c r="AA40" i="4"/>
  <c r="AB40" i="4"/>
  <c r="AC40" i="4"/>
  <c r="AD40" i="4"/>
  <c r="AE40" i="4"/>
  <c r="AF40" i="4"/>
  <c r="AB58" i="1"/>
  <c r="AC58" i="1"/>
  <c r="AD58" i="1"/>
  <c r="AE58" i="1"/>
  <c r="AF58" i="1"/>
  <c r="AG58" i="1"/>
  <c r="U58" i="1"/>
  <c r="V58" i="1"/>
  <c r="W58" i="1"/>
  <c r="X58" i="1"/>
  <c r="Y58" i="1"/>
  <c r="R58" i="1"/>
  <c r="P58" i="1"/>
  <c r="Q58" i="1"/>
  <c r="G58" i="1"/>
  <c r="J53" i="1"/>
  <c r="AC48" i="1"/>
  <c r="AD48" i="1"/>
  <c r="AD53" i="1" s="1"/>
  <c r="AE48" i="1"/>
  <c r="AF48" i="1"/>
  <c r="AG48" i="1"/>
  <c r="AB48" i="1"/>
  <c r="W48" i="1"/>
  <c r="M48" i="1"/>
  <c r="M53" i="1" s="1"/>
  <c r="L48" i="1"/>
  <c r="L53" i="1" s="1"/>
  <c r="K48" i="1"/>
  <c r="K53" i="1" s="1"/>
  <c r="I53" i="1"/>
  <c r="G48" i="1"/>
  <c r="C48" i="1"/>
  <c r="C53" i="1" s="1"/>
  <c r="G47" i="1"/>
  <c r="G57" i="1" s="1"/>
  <c r="H47" i="1"/>
  <c r="H57" i="1" s="1"/>
  <c r="AE47" i="1"/>
  <c r="AE57" i="1" s="1"/>
  <c r="AE38" i="1"/>
  <c r="AE43" i="1" s="1"/>
  <c r="AB47" i="1"/>
  <c r="AB57" i="1" s="1"/>
  <c r="AC47" i="1"/>
  <c r="AC57" i="1" s="1"/>
  <c r="AB38" i="1"/>
  <c r="AB43" i="1" s="1"/>
  <c r="AC38" i="1"/>
  <c r="AC43" i="1" s="1"/>
  <c r="P47" i="1"/>
  <c r="P57" i="1" s="1"/>
  <c r="L47" i="1"/>
  <c r="L57" i="1" s="1"/>
  <c r="K47" i="1"/>
  <c r="K57" i="1" s="1"/>
  <c r="P38" i="1"/>
  <c r="P43" i="1" s="1"/>
  <c r="K38" i="1"/>
  <c r="K43" i="1" s="1"/>
  <c r="L38" i="1"/>
  <c r="L43" i="1" s="1"/>
  <c r="G38" i="1"/>
  <c r="G43" i="1" s="1"/>
  <c r="D58" i="1"/>
  <c r="D48" i="1"/>
  <c r="D53" i="1" s="1"/>
  <c r="D47" i="1"/>
  <c r="D57" i="1" s="1"/>
  <c r="D38" i="1"/>
  <c r="D43" i="1" s="1"/>
  <c r="C58" i="1"/>
  <c r="C47" i="1"/>
  <c r="C57" i="1" s="1"/>
  <c r="C38" i="1"/>
  <c r="C43" i="1" s="1"/>
  <c r="B57" i="4"/>
  <c r="B65" i="4" s="1"/>
  <c r="B56" i="4"/>
  <c r="B40" i="4"/>
  <c r="B50" i="4" s="1"/>
  <c r="Z51" i="4" s="1"/>
  <c r="AG47" i="1"/>
  <c r="AG57" i="1" s="1"/>
  <c r="AF47" i="1"/>
  <c r="AF57" i="1" s="1"/>
  <c r="AD47" i="1"/>
  <c r="AD57" i="1" s="1"/>
  <c r="AA47" i="1"/>
  <c r="AA57" i="1" s="1"/>
  <c r="Y47" i="1"/>
  <c r="Y57" i="1" s="1"/>
  <c r="X47" i="1"/>
  <c r="X57" i="1" s="1"/>
  <c r="V47" i="1"/>
  <c r="V57" i="1" s="1"/>
  <c r="W47" i="1"/>
  <c r="W57" i="1" s="1"/>
  <c r="U47" i="1"/>
  <c r="U57" i="1" s="1"/>
  <c r="R47" i="1"/>
  <c r="R57" i="1" s="1"/>
  <c r="Q47" i="1"/>
  <c r="Q57" i="1" s="1"/>
  <c r="O47" i="1"/>
  <c r="O57" i="1" s="1"/>
  <c r="N47" i="1"/>
  <c r="N57" i="1" s="1"/>
  <c r="M47" i="1"/>
  <c r="M57" i="1" s="1"/>
  <c r="J47" i="1"/>
  <c r="J57" i="1" s="1"/>
  <c r="I47" i="1"/>
  <c r="I57" i="1" s="1"/>
  <c r="F47" i="1"/>
  <c r="F57" i="1" s="1"/>
  <c r="E47" i="1"/>
  <c r="E57" i="1" s="1"/>
  <c r="S48" i="1"/>
  <c r="B47" i="1"/>
  <c r="B57" i="1" s="1"/>
  <c r="AI20" i="4"/>
  <c r="O50" i="4"/>
  <c r="B38" i="1"/>
  <c r="B43" i="1" s="1"/>
  <c r="Z44" i="1" s="1"/>
  <c r="Z55" i="1" s="1"/>
  <c r="E38" i="1"/>
  <c r="E43" i="1" s="1"/>
  <c r="F38" i="1"/>
  <c r="F43" i="1" s="1"/>
  <c r="F44" i="1" s="1"/>
  <c r="H38" i="1"/>
  <c r="H43" i="1" s="1"/>
  <c r="I38" i="1"/>
  <c r="I43" i="1" s="1"/>
  <c r="I44" i="1" s="1"/>
  <c r="I55" i="1" s="1"/>
  <c r="J38" i="1"/>
  <c r="J43" i="1" s="1"/>
  <c r="M38" i="1"/>
  <c r="M43" i="1" s="1"/>
  <c r="M44" i="1" s="1"/>
  <c r="N38" i="1"/>
  <c r="N43" i="1" s="1"/>
  <c r="O38" i="1"/>
  <c r="O43" i="1" s="1"/>
  <c r="O44" i="1" s="1"/>
  <c r="Q38" i="1"/>
  <c r="Q43" i="1" s="1"/>
  <c r="R38" i="1"/>
  <c r="R43" i="1" s="1"/>
  <c r="R44" i="1" s="1"/>
  <c r="U38" i="1"/>
  <c r="U43" i="1" s="1"/>
  <c r="V38" i="1"/>
  <c r="V43" i="1" s="1"/>
  <c r="V44" i="1" s="1"/>
  <c r="W38" i="1"/>
  <c r="W43" i="1" s="1"/>
  <c r="X38" i="1"/>
  <c r="X43" i="1" s="1"/>
  <c r="X44" i="1" s="1"/>
  <c r="Y38" i="1"/>
  <c r="Y43" i="1" s="1"/>
  <c r="AA38" i="1"/>
  <c r="AA43" i="1" s="1"/>
  <c r="AA44" i="1" s="1"/>
  <c r="AD38" i="1"/>
  <c r="AD43" i="1" s="1"/>
  <c r="AF38" i="1"/>
  <c r="AF43" i="1" s="1"/>
  <c r="AF44" i="1" s="1"/>
  <c r="AG38" i="1"/>
  <c r="AG43" i="1" s="1"/>
  <c r="B58" i="1"/>
  <c r="E58" i="1"/>
  <c r="F58" i="1"/>
  <c r="H58" i="1"/>
  <c r="I58" i="1"/>
  <c r="J58" i="1"/>
  <c r="M58" i="1"/>
  <c r="N58" i="1"/>
  <c r="O58" i="1"/>
  <c r="AA58" i="1"/>
  <c r="T48" i="1"/>
  <c r="AA48" i="1"/>
  <c r="AA53" i="1" s="1"/>
  <c r="AF50" i="4" l="1"/>
  <c r="AF43" i="4"/>
  <c r="AF44" i="4" s="1"/>
  <c r="AE50" i="4"/>
  <c r="AE43" i="4"/>
  <c r="AE44" i="4" s="1"/>
  <c r="AD50" i="4"/>
  <c r="AD43" i="4"/>
  <c r="AD44" i="4" s="1"/>
  <c r="AC50" i="4"/>
  <c r="AC43" i="4"/>
  <c r="AC44" i="4" s="1"/>
  <c r="AB50" i="4"/>
  <c r="AB43" i="4"/>
  <c r="AB44" i="4" s="1"/>
  <c r="AA50" i="4"/>
  <c r="AA43" i="4"/>
  <c r="AA44" i="4" s="1"/>
  <c r="Y50" i="4"/>
  <c r="Y44" i="4"/>
  <c r="X50" i="4"/>
  <c r="X44" i="4"/>
  <c r="W50" i="4"/>
  <c r="W44" i="4"/>
  <c r="V50" i="4"/>
  <c r="V44" i="4"/>
  <c r="U50" i="4"/>
  <c r="U43" i="4"/>
  <c r="U44" i="4" s="1"/>
  <c r="T50" i="4"/>
  <c r="T44" i="4"/>
  <c r="N50" i="4"/>
  <c r="N44" i="4"/>
  <c r="M50" i="4"/>
  <c r="M43" i="4"/>
  <c r="M44" i="4" s="1"/>
  <c r="L50" i="4"/>
  <c r="L43" i="4"/>
  <c r="L44" i="4" s="1"/>
  <c r="K50" i="4"/>
  <c r="K43" i="4"/>
  <c r="K44" i="4" s="1"/>
  <c r="J50" i="4"/>
  <c r="J43" i="4"/>
  <c r="J44" i="4" s="1"/>
  <c r="I50" i="4"/>
  <c r="I43" i="4"/>
  <c r="I44" i="4" s="1"/>
  <c r="H50" i="4"/>
  <c r="G44" i="4"/>
  <c r="F50" i="4"/>
  <c r="F44" i="4"/>
  <c r="AA55" i="1"/>
  <c r="M55" i="1"/>
  <c r="O55" i="1"/>
  <c r="Z54" i="1"/>
  <c r="Z63" i="4"/>
  <c r="Z54" i="4"/>
  <c r="Z55" i="4"/>
  <c r="B58" i="4"/>
  <c r="Z58" i="4"/>
  <c r="F58" i="4"/>
  <c r="D58" i="4"/>
  <c r="E58" i="4"/>
  <c r="C58" i="4"/>
  <c r="W44" i="1"/>
  <c r="T53" i="1"/>
  <c r="AB44" i="1"/>
  <c r="V51" i="4"/>
  <c r="R51" i="4"/>
  <c r="H56" i="4"/>
  <c r="G56" i="4"/>
  <c r="X52" i="4"/>
  <c r="M51" i="4"/>
  <c r="Q51" i="4"/>
  <c r="G51" i="4"/>
  <c r="K51" i="4"/>
  <c r="L56" i="4"/>
  <c r="B17" i="4"/>
  <c r="D52" i="4"/>
  <c r="C52" i="4"/>
  <c r="AF51" i="4"/>
  <c r="AD51" i="4"/>
  <c r="AB51" i="4"/>
  <c r="Y51" i="4"/>
  <c r="W51" i="4"/>
  <c r="U51" i="4"/>
  <c r="S51" i="4"/>
  <c r="P51" i="4"/>
  <c r="N51" i="4"/>
  <c r="L51" i="4"/>
  <c r="J51" i="4"/>
  <c r="H51" i="4"/>
  <c r="F51" i="4"/>
  <c r="D51" i="4"/>
  <c r="V57" i="4"/>
  <c r="V65" i="4" s="1"/>
  <c r="AA51" i="4"/>
  <c r="C51" i="4"/>
  <c r="E51" i="4"/>
  <c r="AE51" i="4"/>
  <c r="AC51" i="4"/>
  <c r="AG51" i="4"/>
  <c r="O51" i="4"/>
  <c r="T51" i="4"/>
  <c r="X51" i="4"/>
  <c r="I51" i="4"/>
  <c r="U53" i="4"/>
  <c r="X57" i="4"/>
  <c r="X65" i="4" s="1"/>
  <c r="U57" i="4"/>
  <c r="U65" i="4" s="1"/>
  <c r="AB53" i="4"/>
  <c r="AA53" i="4"/>
  <c r="Y52" i="4"/>
  <c r="S52" i="4"/>
  <c r="J53" i="4"/>
  <c r="H52" i="4"/>
  <c r="O56" i="4"/>
  <c r="Q56" i="4"/>
  <c r="X56" i="4"/>
  <c r="X58" i="4" s="1"/>
  <c r="S53" i="1"/>
  <c r="O54" i="1"/>
  <c r="V53" i="1"/>
  <c r="V55" i="1" s="1"/>
  <c r="H53" i="1"/>
  <c r="X53" i="1"/>
  <c r="X55" i="1" s="1"/>
  <c r="AB53" i="1"/>
  <c r="AB54" i="1" s="1"/>
  <c r="AF53" i="1"/>
  <c r="AF55" i="1" s="1"/>
  <c r="R53" i="1"/>
  <c r="Q53" i="1"/>
  <c r="G53" i="1"/>
  <c r="I54" i="1"/>
  <c r="W53" i="1"/>
  <c r="W54" i="1" s="1"/>
  <c r="Y53" i="1"/>
  <c r="AG53" i="1"/>
  <c r="AE53" i="1"/>
  <c r="F48" i="1"/>
  <c r="F53" i="1" s="1"/>
  <c r="B52" i="4"/>
  <c r="K53" i="4"/>
  <c r="I52" i="4"/>
  <c r="E53" i="4"/>
  <c r="R53" i="4"/>
  <c r="AG52" i="4"/>
  <c r="P52" i="4"/>
  <c r="AG57" i="4"/>
  <c r="AG65" i="4" s="1"/>
  <c r="AF56" i="4"/>
  <c r="I56" i="4"/>
  <c r="J57" i="4"/>
  <c r="J65" i="4" s="1"/>
  <c r="AB57" i="4"/>
  <c r="AB65" i="4" s="1"/>
  <c r="AG56" i="4"/>
  <c r="P56" i="4"/>
  <c r="AD44" i="1"/>
  <c r="AD55" i="1" s="1"/>
  <c r="AE44" i="1"/>
  <c r="V54" i="1"/>
  <c r="AA54" i="1"/>
  <c r="M54" i="1"/>
  <c r="L44" i="1"/>
  <c r="AC53" i="1"/>
  <c r="H44" i="1"/>
  <c r="H55" i="1" s="1"/>
  <c r="C44" i="1"/>
  <c r="C55" i="1" s="1"/>
  <c r="U48" i="1"/>
  <c r="U53" i="1" s="1"/>
  <c r="E48" i="1"/>
  <c r="E53" i="1" s="1"/>
  <c r="P44" i="1"/>
  <c r="AC44" i="1"/>
  <c r="AC55" i="1" s="1"/>
  <c r="T44" i="1"/>
  <c r="Q44" i="1"/>
  <c r="Q55" i="1" s="1"/>
  <c r="N44" i="1"/>
  <c r="P48" i="1"/>
  <c r="P53" i="1" s="1"/>
  <c r="P55" i="1" s="1"/>
  <c r="AG44" i="1"/>
  <c r="AG55" i="1" s="1"/>
  <c r="Y44" i="1"/>
  <c r="Y55" i="1" s="1"/>
  <c r="U44" i="1"/>
  <c r="J44" i="1"/>
  <c r="E44" i="1"/>
  <c r="E55" i="1" s="1"/>
  <c r="D44" i="1"/>
  <c r="G44" i="1"/>
  <c r="K44" i="1"/>
  <c r="K55" i="1" s="1"/>
  <c r="S44" i="1"/>
  <c r="S53" i="4"/>
  <c r="C53" i="4"/>
  <c r="Q52" i="4"/>
  <c r="AD53" i="4"/>
  <c r="M53" i="4"/>
  <c r="AB52" i="4"/>
  <c r="K52" i="4"/>
  <c r="AE53" i="4"/>
  <c r="V53" i="4"/>
  <c r="N53" i="4"/>
  <c r="F53" i="4"/>
  <c r="AC52" i="4"/>
  <c r="T52" i="4"/>
  <c r="L52" i="4"/>
  <c r="AC57" i="4"/>
  <c r="AC65" i="4" s="1"/>
  <c r="P57" i="4"/>
  <c r="AB56" i="4"/>
  <c r="K56" i="4"/>
  <c r="AE57" i="4"/>
  <c r="AE65" i="4" s="1"/>
  <c r="N57" i="4"/>
  <c r="N65" i="4" s="1"/>
  <c r="U56" i="4"/>
  <c r="U58" i="4" s="1"/>
  <c r="AF57" i="4"/>
  <c r="AF65" i="4" s="1"/>
  <c r="Y57" i="4"/>
  <c r="Y65" i="4" s="1"/>
  <c r="S57" i="4"/>
  <c r="S65" i="4" s="1"/>
  <c r="AC56" i="4"/>
  <c r="AC58" i="4" s="1"/>
  <c r="T56" i="4"/>
  <c r="J56" i="4"/>
  <c r="J58" i="4" s="1"/>
  <c r="N56" i="4"/>
  <c r="N58" i="4" s="1"/>
  <c r="R56" i="4"/>
  <c r="V56" i="4"/>
  <c r="V58" i="4" s="1"/>
  <c r="AA56" i="4"/>
  <c r="AE56" i="4"/>
  <c r="K57" i="4"/>
  <c r="K65" i="4" s="1"/>
  <c r="M57" i="4"/>
  <c r="M65" i="4" s="1"/>
  <c r="O57" i="4"/>
  <c r="O65" i="4" s="1"/>
  <c r="Q57" i="4"/>
  <c r="Q65" i="4" s="1"/>
  <c r="W57" i="4"/>
  <c r="W65" i="4" s="1"/>
  <c r="AD57" i="4"/>
  <c r="AD65" i="4" s="1"/>
  <c r="I57" i="4"/>
  <c r="I65" i="4" s="1"/>
  <c r="M56" i="4"/>
  <c r="M58" i="4" s="1"/>
  <c r="Y56" i="4"/>
  <c r="Y58" i="4" s="1"/>
  <c r="AD56" i="4"/>
  <c r="AD58" i="4" s="1"/>
  <c r="R57" i="4"/>
  <c r="R65" i="4" s="1"/>
  <c r="AA57" i="4"/>
  <c r="AA65" i="4" s="1"/>
  <c r="S56" i="4"/>
  <c r="W56" i="4"/>
  <c r="L57" i="4"/>
  <c r="L65" i="4" s="1"/>
  <c r="T57" i="4"/>
  <c r="T65" i="4" s="1"/>
  <c r="F52" i="4"/>
  <c r="J52" i="4"/>
  <c r="J55" i="4" s="1"/>
  <c r="N52" i="4"/>
  <c r="R52" i="4"/>
  <c r="V52" i="4"/>
  <c r="V55" i="4" s="1"/>
  <c r="AA52" i="4"/>
  <c r="AE52" i="4"/>
  <c r="D53" i="4"/>
  <c r="H53" i="4"/>
  <c r="L53" i="4"/>
  <c r="P53" i="4"/>
  <c r="T53" i="4"/>
  <c r="X53" i="4"/>
  <c r="AC53" i="4"/>
  <c r="AG53" i="4"/>
  <c r="G52" i="4"/>
  <c r="O52" i="4"/>
  <c r="W52" i="4"/>
  <c r="AF52" i="4"/>
  <c r="I53" i="4"/>
  <c r="Q53" i="4"/>
  <c r="Y53" i="4"/>
  <c r="E52" i="4"/>
  <c r="M52" i="4"/>
  <c r="U52" i="4"/>
  <c r="AD52" i="4"/>
  <c r="G53" i="4"/>
  <c r="O53" i="4"/>
  <c r="W53" i="4"/>
  <c r="AF53" i="4"/>
  <c r="B53" i="4"/>
  <c r="AI17" i="4"/>
  <c r="H63" i="4" l="1"/>
  <c r="H55" i="4"/>
  <c r="D54" i="1"/>
  <c r="D55" i="1"/>
  <c r="N54" i="1"/>
  <c r="N55" i="1"/>
  <c r="F54" i="1"/>
  <c r="F55" i="1"/>
  <c r="AE55" i="1"/>
  <c r="G55" i="1"/>
  <c r="R54" i="1"/>
  <c r="R55" i="1"/>
  <c r="S55" i="1"/>
  <c r="AB55" i="1"/>
  <c r="T55" i="1"/>
  <c r="W55" i="1"/>
  <c r="U54" i="1"/>
  <c r="U55" i="1"/>
  <c r="L54" i="1"/>
  <c r="L55" i="1"/>
  <c r="J54" i="1"/>
  <c r="J55" i="1"/>
  <c r="S58" i="4"/>
  <c r="AB58" i="4"/>
  <c r="AG58" i="4"/>
  <c r="Z64" i="4"/>
  <c r="Z60" i="4"/>
  <c r="R55" i="4"/>
  <c r="W58" i="4"/>
  <c r="AE58" i="4"/>
  <c r="T54" i="1"/>
  <c r="AA58" i="4"/>
  <c r="R58" i="4"/>
  <c r="Q55" i="4"/>
  <c r="AF58" i="4"/>
  <c r="I55" i="4"/>
  <c r="Q58" i="4"/>
  <c r="X55" i="4"/>
  <c r="X60" i="4" s="1"/>
  <c r="T58" i="4"/>
  <c r="K58" i="4"/>
  <c r="P58" i="4"/>
  <c r="I58" i="4"/>
  <c r="O58" i="4"/>
  <c r="Y55" i="4"/>
  <c r="L58" i="4"/>
  <c r="AF54" i="1"/>
  <c r="X54" i="1"/>
  <c r="AD54" i="1"/>
  <c r="K63" i="4"/>
  <c r="G57" i="4"/>
  <c r="G65" i="4" s="1"/>
  <c r="H57" i="4"/>
  <c r="H65" i="4" s="1"/>
  <c r="S55" i="4"/>
  <c r="AB54" i="4"/>
  <c r="AB64" i="4" s="1"/>
  <c r="S54" i="1"/>
  <c r="B54" i="4"/>
  <c r="B64" i="4" s="1"/>
  <c r="Q54" i="4"/>
  <c r="Q64" i="4" s="1"/>
  <c r="C63" i="4"/>
  <c r="AE54" i="1"/>
  <c r="K54" i="4"/>
  <c r="K64" i="4" s="1"/>
  <c r="AC54" i="1"/>
  <c r="T54" i="4"/>
  <c r="T64" i="4" s="1"/>
  <c r="K55" i="4"/>
  <c r="AB63" i="4"/>
  <c r="C54" i="1"/>
  <c r="H54" i="1"/>
  <c r="AC63" i="4"/>
  <c r="G54" i="1"/>
  <c r="Y54" i="1"/>
  <c r="Q54" i="1"/>
  <c r="C55" i="4"/>
  <c r="C60" i="4" s="1"/>
  <c r="K54" i="1"/>
  <c r="E54" i="1"/>
  <c r="AG54" i="1"/>
  <c r="P54" i="1"/>
  <c r="P65" i="4"/>
  <c r="AC55" i="4"/>
  <c r="AC60" i="4" s="1"/>
  <c r="AB55" i="4"/>
  <c r="C54" i="4"/>
  <c r="C64" i="4" s="1"/>
  <c r="S54" i="4"/>
  <c r="S64" i="4" s="1"/>
  <c r="U63" i="4"/>
  <c r="U55" i="4"/>
  <c r="U54" i="4"/>
  <c r="E63" i="4"/>
  <c r="E55" i="4"/>
  <c r="E60" i="4" s="1"/>
  <c r="E54" i="4"/>
  <c r="E64" i="4" s="1"/>
  <c r="AF63" i="4"/>
  <c r="AF54" i="4"/>
  <c r="AF64" i="4" s="1"/>
  <c r="AF55" i="4"/>
  <c r="AF60" i="4" s="1"/>
  <c r="O55" i="4"/>
  <c r="O63" i="4"/>
  <c r="O54" i="4"/>
  <c r="O64" i="4" s="1"/>
  <c r="AG55" i="4"/>
  <c r="AG54" i="4"/>
  <c r="AG64" i="4" s="1"/>
  <c r="X54" i="4"/>
  <c r="X64" i="4" s="1"/>
  <c r="P63" i="4"/>
  <c r="P55" i="4"/>
  <c r="P54" i="4"/>
  <c r="P64" i="4" s="1"/>
  <c r="H54" i="4"/>
  <c r="H64" i="4" s="1"/>
  <c r="AE63" i="4"/>
  <c r="AE54" i="4"/>
  <c r="AE64" i="4" s="1"/>
  <c r="AE55" i="4"/>
  <c r="V54" i="4"/>
  <c r="V64" i="4" s="1"/>
  <c r="V60" i="4"/>
  <c r="V63" i="4"/>
  <c r="N63" i="4"/>
  <c r="N54" i="4"/>
  <c r="N64" i="4" s="1"/>
  <c r="N55" i="4"/>
  <c r="N60" i="4" s="1"/>
  <c r="F55" i="4"/>
  <c r="F60" i="4" s="1"/>
  <c r="F54" i="4"/>
  <c r="F64" i="4" s="1"/>
  <c r="F63" i="4"/>
  <c r="AG63" i="4"/>
  <c r="B55" i="4"/>
  <c r="B60" i="4" s="1"/>
  <c r="Q63" i="4"/>
  <c r="U64" i="4"/>
  <c r="AD63" i="4"/>
  <c r="AD55" i="4"/>
  <c r="AD60" i="4" s="1"/>
  <c r="AD54" i="4"/>
  <c r="AD64" i="4" s="1"/>
  <c r="M55" i="4"/>
  <c r="M60" i="4" s="1"/>
  <c r="M63" i="4"/>
  <c r="M54" i="4"/>
  <c r="M64" i="4" s="1"/>
  <c r="Y63" i="4"/>
  <c r="Y54" i="4"/>
  <c r="Y64" i="4" s="1"/>
  <c r="I54" i="4"/>
  <c r="I64" i="4" s="1"/>
  <c r="I63" i="4"/>
  <c r="W63" i="4"/>
  <c r="W54" i="4"/>
  <c r="W64" i="4" s="1"/>
  <c r="W55" i="4"/>
  <c r="G63" i="4"/>
  <c r="G55" i="4"/>
  <c r="G54" i="4"/>
  <c r="G64" i="4" s="1"/>
  <c r="T63" i="4"/>
  <c r="T55" i="4"/>
  <c r="L55" i="4"/>
  <c r="L63" i="4"/>
  <c r="D63" i="4"/>
  <c r="D55" i="4"/>
  <c r="D60" i="4" s="1"/>
  <c r="D54" i="4"/>
  <c r="D64" i="4" s="1"/>
  <c r="AA63" i="4"/>
  <c r="AA55" i="4"/>
  <c r="AA54" i="4"/>
  <c r="AA64" i="4" s="1"/>
  <c r="R63" i="4"/>
  <c r="R54" i="4"/>
  <c r="R64" i="4" s="1"/>
  <c r="J63" i="4"/>
  <c r="J54" i="4"/>
  <c r="J64" i="4" s="1"/>
  <c r="X63" i="4"/>
  <c r="B63" i="4"/>
  <c r="L54" i="4"/>
  <c r="L64" i="4" s="1"/>
  <c r="AC54" i="4"/>
  <c r="AC64" i="4" s="1"/>
  <c r="S63" i="4"/>
  <c r="Z62" i="4" l="1"/>
  <c r="X62" i="4"/>
  <c r="AC62" i="4"/>
  <c r="E62" i="4"/>
  <c r="C62" i="4"/>
  <c r="D62" i="4"/>
  <c r="F62" i="4"/>
  <c r="N62" i="4"/>
  <c r="AD62" i="4"/>
  <c r="AF62" i="4"/>
  <c r="M62" i="4"/>
  <c r="V62" i="4"/>
  <c r="Z61" i="4"/>
  <c r="S60" i="4"/>
  <c r="S62" i="4" s="1"/>
  <c r="U60" i="4"/>
  <c r="U62" i="4" s="1"/>
  <c r="G58" i="4"/>
  <c r="G60" i="4" s="1"/>
  <c r="G62" i="4" s="1"/>
  <c r="H58" i="4"/>
  <c r="H60" i="4" s="1"/>
  <c r="H62" i="4" s="1"/>
  <c r="AC61" i="4"/>
  <c r="D61" i="4"/>
  <c r="AE60" i="4"/>
  <c r="AG60" i="4"/>
  <c r="AB60" i="4"/>
  <c r="J60" i="4"/>
  <c r="T60" i="4"/>
  <c r="K60" i="4"/>
  <c r="AA60" i="4"/>
  <c r="AA62" i="4" s="1"/>
  <c r="Y60" i="4"/>
  <c r="Q60" i="4"/>
  <c r="R60" i="4"/>
  <c r="W60" i="4"/>
  <c r="C61" i="4"/>
  <c r="P60" i="4"/>
  <c r="P62" i="4" s="1"/>
  <c r="F61" i="4"/>
  <c r="P61" i="4"/>
  <c r="M61" i="4"/>
  <c r="AD61" i="4"/>
  <c r="O60" i="4"/>
  <c r="L60" i="4"/>
  <c r="I60" i="4"/>
  <c r="N61" i="4"/>
  <c r="V61" i="4"/>
  <c r="X61" i="4"/>
  <c r="AF61" i="4"/>
  <c r="E61" i="4"/>
  <c r="I61" i="4" l="1"/>
  <c r="I62" i="4"/>
  <c r="L61" i="4"/>
  <c r="L62" i="4"/>
  <c r="O61" i="4"/>
  <c r="O62" i="4"/>
  <c r="W61" i="4"/>
  <c r="W62" i="4"/>
  <c r="R61" i="4"/>
  <c r="R62" i="4"/>
  <c r="Q61" i="4"/>
  <c r="Q62" i="4"/>
  <c r="Y61" i="4"/>
  <c r="Y62" i="4"/>
  <c r="K61" i="4"/>
  <c r="K62" i="4"/>
  <c r="T61" i="4"/>
  <c r="T62" i="4"/>
  <c r="J61" i="4"/>
  <c r="J62" i="4"/>
  <c r="AB61" i="4"/>
  <c r="AB62" i="4"/>
  <c r="AG61" i="4"/>
  <c r="AG62" i="4"/>
  <c r="AE61" i="4"/>
  <c r="AE62" i="4"/>
  <c r="S61" i="4"/>
  <c r="AA61" i="4"/>
  <c r="U61" i="4"/>
  <c r="G61" i="4"/>
  <c r="H61" i="4"/>
</calcChain>
</file>

<file path=xl/sharedStrings.xml><?xml version="1.0" encoding="utf-8"?>
<sst xmlns="http://schemas.openxmlformats.org/spreadsheetml/2006/main" count="493" uniqueCount="181">
  <si>
    <t>Bezeichnung</t>
  </si>
  <si>
    <t>Investition</t>
  </si>
  <si>
    <t>Kosteneinsparung nach 20 Jahren</t>
  </si>
  <si>
    <t>Autarkie Wärme</t>
  </si>
  <si>
    <t>Holzvergaser</t>
  </si>
  <si>
    <t>Autarkie Strom</t>
  </si>
  <si>
    <t>Förderung</t>
  </si>
  <si>
    <t>Luft-Wärmepumpe</t>
  </si>
  <si>
    <t>Erd-Wärmepumpe</t>
  </si>
  <si>
    <t>Nutzwärme</t>
  </si>
  <si>
    <t>fossil</t>
  </si>
  <si>
    <t>erneuerbar</t>
  </si>
  <si>
    <t xml:space="preserve">Photovoltaik und </t>
  </si>
  <si>
    <t>und Speicher</t>
  </si>
  <si>
    <t xml:space="preserve">Holzheizung und </t>
  </si>
  <si>
    <t>Solarthermie</t>
  </si>
  <si>
    <t>wärmepumpe</t>
  </si>
  <si>
    <t>und Solarthermie</t>
  </si>
  <si>
    <t>und Photovoltaik</t>
  </si>
  <si>
    <t>Wärmeerzeuger</t>
  </si>
  <si>
    <t>Schornstein</t>
  </si>
  <si>
    <t>Gasanschluss</t>
  </si>
  <si>
    <t>Heizsystem</t>
  </si>
  <si>
    <t>Photovoltaik</t>
  </si>
  <si>
    <t>Batteriespeicher</t>
  </si>
  <si>
    <t>verbleibende Investition</t>
  </si>
  <si>
    <t>Stromverbrauch</t>
  </si>
  <si>
    <t>kWh/a</t>
  </si>
  <si>
    <t>B</t>
  </si>
  <si>
    <t>Einstufung im Energieausweis</t>
  </si>
  <si>
    <t>A</t>
  </si>
  <si>
    <t>A+</t>
  </si>
  <si>
    <t>Variante 1 a</t>
  </si>
  <si>
    <t>Variante 3 a</t>
  </si>
  <si>
    <t>Variante 3 b</t>
  </si>
  <si>
    <t>Variante 4 a</t>
  </si>
  <si>
    <t>Variante 4 b</t>
  </si>
  <si>
    <t>Variante 6 a</t>
  </si>
  <si>
    <t>Variante 6 b</t>
  </si>
  <si>
    <t>Variante 9</t>
  </si>
  <si>
    <t>Variante 10 a</t>
  </si>
  <si>
    <t>Variante 10 b</t>
  </si>
  <si>
    <t>Variante 10 c</t>
  </si>
  <si>
    <t>Variante 10 d</t>
  </si>
  <si>
    <t>Variante 11 a</t>
  </si>
  <si>
    <t>Variante 11 b</t>
  </si>
  <si>
    <t>C</t>
  </si>
  <si>
    <t>Variante 6 c</t>
  </si>
  <si>
    <t>Brennwertkessel</t>
  </si>
  <si>
    <t>Variante 2 b</t>
  </si>
  <si>
    <t xml:space="preserve">BHKW mit </t>
  </si>
  <si>
    <t>Brennstoffzelle</t>
  </si>
  <si>
    <t>Solare Heizungs-</t>
  </si>
  <si>
    <t>unterstützung</t>
  </si>
  <si>
    <t>Amortisationszeit (a - Jahre)</t>
  </si>
  <si>
    <t>CO2 (t/a - Tonnen pro Jahr)</t>
  </si>
  <si>
    <t>Endenergie (kWh/a - kWh pro Jahr)</t>
  </si>
  <si>
    <t>Globalstrahlung</t>
  </si>
  <si>
    <t>kWh/m²a</t>
  </si>
  <si>
    <t>Gaspreis</t>
  </si>
  <si>
    <t>Strompreis</t>
  </si>
  <si>
    <t>Cent/kWh</t>
  </si>
  <si>
    <t>WP-Strompreis</t>
  </si>
  <si>
    <t>Umrechnungsfaktoren</t>
  </si>
  <si>
    <t>Strom</t>
  </si>
  <si>
    <t>Holzpreis</t>
  </si>
  <si>
    <t>Pelletpreis</t>
  </si>
  <si>
    <t>€/ rm</t>
  </si>
  <si>
    <t>€/ t</t>
  </si>
  <si>
    <t>kWh/rm</t>
  </si>
  <si>
    <t>kWh/t</t>
  </si>
  <si>
    <t>ct/kWh</t>
  </si>
  <si>
    <t>Fernwärmepreis</t>
  </si>
  <si>
    <t>CO2-Faktoren:</t>
  </si>
  <si>
    <t>Gas</t>
  </si>
  <si>
    <t>Holz</t>
  </si>
  <si>
    <t>Pellet</t>
  </si>
  <si>
    <t>Fernwärme</t>
  </si>
  <si>
    <t>kg/kWh</t>
  </si>
  <si>
    <t>Fernwärme EE</t>
  </si>
  <si>
    <t>Ausgangswerte:</t>
  </si>
  <si>
    <t>Pelletkessel</t>
  </si>
  <si>
    <t>Variante 1 b</t>
  </si>
  <si>
    <t>Variante 2 a</t>
  </si>
  <si>
    <t>Ist-Zustand</t>
  </si>
  <si>
    <t>H</t>
  </si>
  <si>
    <t>Variante 0 b</t>
  </si>
  <si>
    <t>Gas-</t>
  </si>
  <si>
    <t>G</t>
  </si>
  <si>
    <t>außerhalb der</t>
  </si>
  <si>
    <t>thermischen Hülle</t>
  </si>
  <si>
    <t>Variante 0 c</t>
  </si>
  <si>
    <t>innerhalb der</t>
  </si>
  <si>
    <t>Brennstofflager</t>
  </si>
  <si>
    <t>Wasserspeicher</t>
  </si>
  <si>
    <t>Instandhaltungsanteil</t>
  </si>
  <si>
    <t>mit Heizkörpern</t>
  </si>
  <si>
    <t>D</t>
  </si>
  <si>
    <t>Variante 4 c</t>
  </si>
  <si>
    <t>Variante 5 a</t>
  </si>
  <si>
    <t>Solare Brauch-</t>
  </si>
  <si>
    <t>wasseranlage</t>
  </si>
  <si>
    <t>Variante 5 b</t>
  </si>
  <si>
    <t>Brauchwasser-WP</t>
  </si>
  <si>
    <t>solare Heizungs-</t>
  </si>
  <si>
    <t>Variante 8 b</t>
  </si>
  <si>
    <t>Gas-Hybrid-</t>
  </si>
  <si>
    <t>Variante 8 c</t>
  </si>
  <si>
    <t>Variante 7 a</t>
  </si>
  <si>
    <t>Variante 7 b</t>
  </si>
  <si>
    <t xml:space="preserve">Pelletheizung und </t>
  </si>
  <si>
    <t>und Batterie-</t>
  </si>
  <si>
    <t>speicher</t>
  </si>
  <si>
    <t>Variante 8 d</t>
  </si>
  <si>
    <t>Motor</t>
  </si>
  <si>
    <t>Energiekosten pro Jahr</t>
  </si>
  <si>
    <t>Stromproduktion pro Jahr</t>
  </si>
  <si>
    <t>Stromerlös pro Jahr</t>
  </si>
  <si>
    <t>Wartungskosten etc. pro Jahr</t>
  </si>
  <si>
    <t>Betriebskosten pro Jahr</t>
  </si>
  <si>
    <t>Wärme pro Jahr</t>
  </si>
  <si>
    <t>Strom pro Jahr</t>
  </si>
  <si>
    <t>Investition im Vergleich</t>
  </si>
  <si>
    <t>davon Strom selbstgenutzt</t>
  </si>
  <si>
    <t>und Gas-Brennwert</t>
  </si>
  <si>
    <t>mit Fußboden-</t>
  </si>
  <si>
    <t>heizung</t>
  </si>
  <si>
    <t>und Pelletkessel</t>
  </si>
  <si>
    <t>Variante 6 d</t>
  </si>
  <si>
    <t>Variante 6 e</t>
  </si>
  <si>
    <t>E-Heizung</t>
  </si>
  <si>
    <t>unterstützungs</t>
  </si>
  <si>
    <t>und Heizplatten</t>
  </si>
  <si>
    <t>F</t>
  </si>
  <si>
    <t>Speicher</t>
  </si>
  <si>
    <t>NT-Strompreis</t>
  </si>
  <si>
    <t xml:space="preserve"> Investitionskosten: höchstens 5.000 € Zusatzkosten</t>
  </si>
  <si>
    <t xml:space="preserve"> Kohlendioxidbelastung: höchstens 2 Tonnen jährlich</t>
  </si>
  <si>
    <t>Betriebskosten: höchstens 1.500 € jährlich</t>
  </si>
  <si>
    <t>Autarkie Wärme: mindestens 50 Prozent</t>
  </si>
  <si>
    <t>Kosteneinsparung: mindestens 5.000 € über 20 Jahre</t>
  </si>
  <si>
    <t>Autarkie Strom: mindestens 50 Prozent</t>
  </si>
  <si>
    <t>Amortisationszeit: höchstens 10 Jahre</t>
  </si>
  <si>
    <t>Tabelle 7:</t>
  </si>
  <si>
    <t>Haustechnikvarianten beim Altbau Güngör</t>
  </si>
  <si>
    <t>Heizstromverbrauch</t>
  </si>
  <si>
    <t>kWh NT</t>
  </si>
  <si>
    <t>In diesen Feldern stehen die im Ratgeber dokumentierten Vorgabewerte</t>
  </si>
  <si>
    <t>grüne Schriftfarbe</t>
  </si>
  <si>
    <t>Bei dieser Varianten ist die Investition geringer als im Ist-Zustand</t>
  </si>
  <si>
    <t>rote Schriftfarbe</t>
  </si>
  <si>
    <t>In dieser Zeile ist die Variante ungünstiger als der Ist-Zustand</t>
  </si>
  <si>
    <t>Haustechnikvarianten bei Elektroheizung</t>
  </si>
  <si>
    <t>Bitte eigene Werte eintragen</t>
  </si>
  <si>
    <t>Einspeisevergütung</t>
  </si>
  <si>
    <t>Förderfähig für BEG EM</t>
  </si>
  <si>
    <t>Förderung BEG EM</t>
  </si>
  <si>
    <t xml:space="preserve">sonstige Förderung </t>
  </si>
  <si>
    <t>Variante 8 e</t>
  </si>
  <si>
    <t>Pellet-Hybrid-</t>
  </si>
  <si>
    <t>Förderung Land/ Kommune</t>
  </si>
  <si>
    <t>Sonstige Förderung</t>
  </si>
  <si>
    <t>Warmwasseranlage</t>
  </si>
  <si>
    <t>Die Förderung bezieht sich auf die neue Bundesförderung für effiziente Gebäude (BEG) ab 01.01.2023</t>
  </si>
  <si>
    <r>
      <t>Energiepreise Stand Januar 2023 teilweise orientiert an den Preisdeckeln,</t>
    </r>
    <r>
      <rPr>
        <sz val="10"/>
        <rFont val="Arial"/>
        <family val="2"/>
      </rPr>
      <t xml:space="preserve"> ohne Preissteigerung</t>
    </r>
  </si>
  <si>
    <t>Energiepreise Stand Januar 2023 teilweise orientiert an den Preisdeckeln, ohne Preissteigerung</t>
  </si>
  <si>
    <t>Grünes Gas für Brennstoffzelle</t>
  </si>
  <si>
    <t>Grünes Gas</t>
  </si>
  <si>
    <t>Vollständige Tabelle mit allen Varianten (zur Tabelle im "Ratgeber Heizung", Seite 214 bis 217)  - Stand 18.03.2023</t>
  </si>
  <si>
    <t>Tragen Sie hier Ihre individuellen Werte ein  - Stand 06.01.2024</t>
  </si>
  <si>
    <t>Sie können bei der  Bundesförderung für effiziente Gebäude (BEG) zwischen den Bedingungen vor und nach dem 01.01.2024 wählen und bei der neuen Förderung Ihre individuellen Bedingungen eingeben. Die Werte der alten Förderung beziehen sich auf die im Buch vorgegbenen Bedingungen.</t>
  </si>
  <si>
    <t>Förderung BEG EM ab 01.01.2024</t>
  </si>
  <si>
    <t>n</t>
  </si>
  <si>
    <t>j oder n eingeben</t>
  </si>
  <si>
    <t>maximale förderfähige Kosten BEG neu</t>
  </si>
  <si>
    <t>Fördersatz BEG neu</t>
  </si>
  <si>
    <t>Förderfähig BEG neu</t>
  </si>
  <si>
    <t>Förderung BEG neu</t>
  </si>
  <si>
    <t>Förderfähig für BEG EM alt</t>
  </si>
  <si>
    <t>Förderung BEG EM alt</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</si>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</sst>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 &quot;€&quot;"/>
    <numFmt numFmtId="165" formatCode="#,##0\ &quot;kWh/a&quot;"/>
    <numFmt numFmtId="166" formatCode="0.0\ &quot;t/a&quot;"/>
    <numFmt numFmtId="167" formatCode="0.0\ &quot;a&quot;"/>
    <numFmt numFmtId="168" formatCode="0\ \ &quot;a&quot;"/>
    <numFmt numFmtId="169" formatCode="0.0\ \ &quot;a&quot;"/>
    <numFmt numFmtId="170" formatCode="#,##0.0"/>
    <numFmt numFmtId="171" formatCode="#,##0.000"/>
    <numFmt numFmtId="172" formatCode="0.0"/>
    <numFmt numFmtId="173" formatCode="#,##0.000\ &quot;Cent/kWh&quot;"/>
    <numFmt numFmtId="174" formatCode="0.000"/>
  </numFmts>
  <fonts count="13" x14ac:knownFonts="1">
    <font>
      <sz val="10"/>
      <name val="Arial"/>
    </font>
    <font>
      <b/>
      <sz val="10"/>
      <name val="Arial"/>
      <family val="2"/>
    </font>
    <font>
      <b/>
      <sz val="18"/>
      <name val="Arial"/>
      <family val="2"/>
    </font>
    <font>
      <sz val="10"/>
      <name val="Arial"/>
      <family val="2"/>
    </font>
    <font>
      <sz val="10"/>
      <color indexed="8"/>
      <name val="Arial"/>
      <family val="2"/>
    </font>
    <font>
      <b/>
      <sz val="10"/>
      <color indexed="8"/>
      <name val="Arial"/>
      <family val="2"/>
    </font>
    <font>
      <sz val="10"/>
      <color theme="1"/>
      <name val="Arial"/>
      <family val="2"/>
    </font>
    <font>
      <sz val="10"/>
      <color rgb="FFFF0000"/>
      <name val="Arial"/>
      <family val="2"/>
    </font>
    <font>
      <sz val="10"/>
      <color rgb="FF339933"/>
      <name val="Arial"/>
      <family val="2"/>
    </font>
    <font>
      <sz val="12"/>
      <name val="Arial"/>
      <family val="2"/>
    </font>
    <font>
      <b/>
      <sz val="10"/>
      <color theme="1" tint="0.499984740745262"/>
      <name val="Arial"/>
      <family val="2"/>
    </font>
    <font>
      <sz val="10"/>
      <color theme="1" tint="0.499984740745262"/>
      <name val="Arial"/>
      <family val="2"/>
    </font>
    <font>
      <sz val="10"/>
      <color theme="0"/>
      <name val="Arial"/>
      <family val="2"/>
    </font>
  </fonts>
  <fills count="13">
    <fill>
      <patternFill patternType="none"/>
    </fill>
    <fill>
      <patternFill patternType="gray125"/>
    </fill>
    <fill>
      <patternFill patternType="solid">
        <fgColor indexed="13"/>
        <bgColor indexed="64"/>
      </patternFill>
    </fill>
    <fill>
      <patternFill patternType="solid">
        <fgColor indexed="29"/>
        <bgColor indexed="64"/>
      </patternFill>
    </fill>
    <fill>
      <patternFill patternType="solid">
        <fgColor indexed="52"/>
        <bgColor indexed="64"/>
      </patternFill>
    </fill>
    <fill>
      <patternFill patternType="solid">
        <fgColor rgb="FFFFFFAF"/>
        <bgColor indexed="64"/>
      </patternFill>
    </fill>
    <fill>
      <patternFill patternType="solid">
        <fgColor theme="2"/>
        <bgColor indexed="64"/>
      </patternFill>
    </fill>
    <fill>
      <patternFill patternType="solid">
        <fgColor rgb="FF92D050"/>
        <bgColor indexed="64"/>
      </patternFill>
    </fill>
    <fill>
      <patternFill patternType="solid">
        <fgColor rgb="FF5DD5FF"/>
        <bgColor indexed="64"/>
      </patternFill>
    </fill>
    <fill>
      <patternFill patternType="solid">
        <fgColor rgb="FFFF3399"/>
        <bgColor indexed="64"/>
      </patternFill>
    </fill>
    <fill>
      <patternFill patternType="solid">
        <fgColor rgb="FF934BC9"/>
        <bgColor indexed="64"/>
      </patternFill>
    </fill>
    <fill>
      <patternFill patternType="solid">
        <fgColor rgb="FFE1F0FF"/>
        <bgColor indexed="64"/>
      </patternFill>
    </fill>
    <fill>
      <patternFill patternType="solid">
        <fgColor theme="0"/>
        <bgColor indexed="64"/>
      </patternFill>
    </fill>
  </fills>
  <borders count="2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147">
    <xf numFmtId="0" fontId="0" fillId="0" borderId="0" xfId="0"/>
    <xf numFmtId="0" fontId="1" fillId="0" borderId="0" xfId="0" applyFont="1"/>
    <xf numFmtId="0" fontId="2" fillId="0" borderId="0" xfId="0" applyFont="1"/>
    <xf numFmtId="164" fontId="0" fillId="0" borderId="0" xfId="0" applyNumberFormat="1"/>
    <xf numFmtId="9" fontId="0" fillId="0" borderId="0" xfId="0" applyNumberFormat="1"/>
    <xf numFmtId="166" fontId="0" fillId="0" borderId="0" xfId="0" applyNumberFormat="1"/>
    <xf numFmtId="6" fontId="0" fillId="0" borderId="0" xfId="0" applyNumberFormat="1"/>
    <xf numFmtId="170" fontId="0" fillId="5" borderId="0" xfId="0" applyNumberFormat="1" applyFill="1" applyProtection="1">
      <protection locked="0"/>
    </xf>
    <xf numFmtId="0" fontId="2" fillId="0" borderId="0" xfId="0" applyFont="1" applyAlignment="1">
      <alignment horizontal="right"/>
    </xf>
    <xf numFmtId="0" fontId="1" fillId="11" borderId="1" xfId="0" applyFont="1" applyFill="1" applyBorder="1"/>
    <xf numFmtId="3" fontId="0" fillId="11" borderId="2" xfId="0" applyNumberFormat="1" applyFill="1" applyBorder="1"/>
    <xf numFmtId="0" fontId="3" fillId="11" borderId="3" xfId="0" applyFont="1" applyFill="1" applyBorder="1"/>
    <xf numFmtId="0" fontId="0" fillId="11" borderId="4" xfId="0" applyFill="1" applyBorder="1"/>
    <xf numFmtId="0" fontId="0" fillId="11" borderId="5" xfId="0" applyFill="1" applyBorder="1"/>
    <xf numFmtId="0" fontId="0" fillId="11" borderId="6" xfId="0" applyFill="1" applyBorder="1"/>
    <xf numFmtId="0" fontId="0" fillId="11" borderId="3" xfId="0" applyFill="1" applyBorder="1"/>
    <xf numFmtId="0" fontId="0" fillId="11" borderId="0" xfId="0" applyFill="1"/>
    <xf numFmtId="0" fontId="1" fillId="11" borderId="7" xfId="0" applyFont="1" applyFill="1" applyBorder="1"/>
    <xf numFmtId="0" fontId="0" fillId="11" borderId="8" xfId="0" applyFill="1" applyBorder="1"/>
    <xf numFmtId="172" fontId="0" fillId="11" borderId="2" xfId="0" applyNumberFormat="1" applyFill="1" applyBorder="1"/>
    <xf numFmtId="0" fontId="0" fillId="11" borderId="1" xfId="0" applyFill="1" applyBorder="1"/>
    <xf numFmtId="0" fontId="0" fillId="11" borderId="2" xfId="0" applyFill="1" applyBorder="1"/>
    <xf numFmtId="0" fontId="0" fillId="11" borderId="7" xfId="0" applyFill="1" applyBorder="1"/>
    <xf numFmtId="0" fontId="0" fillId="11" borderId="9" xfId="0" applyFill="1" applyBorder="1"/>
    <xf numFmtId="0" fontId="0" fillId="11" borderId="10" xfId="0" applyFill="1" applyBorder="1"/>
    <xf numFmtId="0" fontId="0" fillId="11" borderId="11" xfId="0" applyFill="1" applyBorder="1"/>
    <xf numFmtId="169" fontId="4" fillId="0" borderId="12" xfId="0" applyNumberFormat="1" applyFont="1" applyBorder="1"/>
    <xf numFmtId="165" fontId="0" fillId="0" borderId="13" xfId="0" applyNumberFormat="1" applyBorder="1"/>
    <xf numFmtId="164" fontId="0" fillId="0" borderId="13" xfId="0" applyNumberFormat="1" applyBorder="1"/>
    <xf numFmtId="0" fontId="1" fillId="0" borderId="14" xfId="0" applyFont="1" applyBorder="1"/>
    <xf numFmtId="0" fontId="1" fillId="0" borderId="14" xfId="1" applyFont="1" applyBorder="1"/>
    <xf numFmtId="0" fontId="1" fillId="6" borderId="14" xfId="0" applyFont="1" applyFill="1" applyBorder="1"/>
    <xf numFmtId="0" fontId="1" fillId="6" borderId="14" xfId="0" applyFont="1" applyFill="1" applyBorder="1" applyAlignment="1">
      <alignment horizontal="center"/>
    </xf>
    <xf numFmtId="164" fontId="0" fillId="0" borderId="14" xfId="0" applyNumberFormat="1" applyBorder="1"/>
    <xf numFmtId="0" fontId="1" fillId="0" borderId="15" xfId="0" applyFont="1" applyBorder="1"/>
    <xf numFmtId="164" fontId="1" fillId="0" borderId="15" xfId="1" applyNumberFormat="1" applyFont="1" applyBorder="1"/>
    <xf numFmtId="6" fontId="1" fillId="0" borderId="15" xfId="1" applyNumberFormat="1" applyFont="1" applyBorder="1"/>
    <xf numFmtId="165" fontId="1" fillId="0" borderId="15" xfId="1" applyNumberFormat="1" applyFont="1" applyBorder="1"/>
    <xf numFmtId="164" fontId="1" fillId="0" borderId="15" xfId="0" applyNumberFormat="1" applyFont="1" applyBorder="1"/>
    <xf numFmtId="167" fontId="1" fillId="0" borderId="15" xfId="1" applyNumberFormat="1" applyFont="1" applyBorder="1"/>
    <xf numFmtId="6" fontId="1" fillId="0" borderId="15" xfId="0" applyNumberFormat="1" applyFont="1" applyBorder="1"/>
    <xf numFmtId="0" fontId="1" fillId="0" borderId="15" xfId="1" applyFont="1" applyBorder="1"/>
    <xf numFmtId="0" fontId="1" fillId="0" borderId="16" xfId="0" applyFont="1" applyBorder="1"/>
    <xf numFmtId="0" fontId="1" fillId="0" borderId="16" xfId="1" applyFont="1" applyBorder="1"/>
    <xf numFmtId="0" fontId="1" fillId="11" borderId="17" xfId="0" applyFont="1" applyFill="1" applyBorder="1"/>
    <xf numFmtId="164" fontId="0" fillId="11" borderId="17" xfId="0" applyNumberFormat="1" applyFill="1" applyBorder="1"/>
    <xf numFmtId="164" fontId="4" fillId="11" borderId="17" xfId="1" applyNumberFormat="1" applyFont="1" applyFill="1" applyBorder="1"/>
    <xf numFmtId="0" fontId="1" fillId="11" borderId="13" xfId="0" applyFont="1" applyFill="1" applyBorder="1"/>
    <xf numFmtId="164" fontId="0" fillId="11" borderId="13" xfId="0" applyNumberFormat="1" applyFill="1" applyBorder="1"/>
    <xf numFmtId="164" fontId="4" fillId="11" borderId="13" xfId="1" applyNumberFormat="1" applyFont="1" applyFill="1" applyBorder="1"/>
    <xf numFmtId="0" fontId="1" fillId="11" borderId="18" xfId="0" applyFont="1" applyFill="1" applyBorder="1"/>
    <xf numFmtId="164" fontId="0" fillId="11" borderId="18" xfId="0" applyNumberFormat="1" applyFill="1" applyBorder="1"/>
    <xf numFmtId="164" fontId="4" fillId="11" borderId="18" xfId="1" applyNumberFormat="1" applyFont="1" applyFill="1" applyBorder="1"/>
    <xf numFmtId="0" fontId="5" fillId="11" borderId="18" xfId="1" applyFont="1" applyFill="1" applyBorder="1"/>
    <xf numFmtId="0" fontId="1" fillId="0" borderId="12" xfId="0" applyFont="1" applyBorder="1"/>
    <xf numFmtId="164" fontId="0" fillId="0" borderId="12" xfId="0" applyNumberFormat="1" applyBorder="1"/>
    <xf numFmtId="0" fontId="1" fillId="11" borderId="19" xfId="0" applyFont="1" applyFill="1" applyBorder="1"/>
    <xf numFmtId="164" fontId="0" fillId="11" borderId="19" xfId="0" applyNumberFormat="1" applyFill="1" applyBorder="1"/>
    <xf numFmtId="164" fontId="4" fillId="11" borderId="19" xfId="1" applyNumberFormat="1" applyFont="1" applyFill="1" applyBorder="1"/>
    <xf numFmtId="0" fontId="1" fillId="0" borderId="19" xfId="0" applyFont="1" applyBorder="1"/>
    <xf numFmtId="165" fontId="0" fillId="0" borderId="19" xfId="0" applyNumberFormat="1" applyBorder="1"/>
    <xf numFmtId="165" fontId="4" fillId="0" borderId="19" xfId="0" applyNumberFormat="1" applyFont="1" applyBorder="1"/>
    <xf numFmtId="0" fontId="1" fillId="0" borderId="13" xfId="0" applyFont="1" applyBorder="1"/>
    <xf numFmtId="165" fontId="4" fillId="0" borderId="13" xfId="0" applyNumberFormat="1" applyFont="1" applyBorder="1"/>
    <xf numFmtId="164" fontId="3" fillId="0" borderId="13" xfId="0" applyNumberFormat="1" applyFont="1" applyBorder="1"/>
    <xf numFmtId="0" fontId="1" fillId="11" borderId="14" xfId="0" applyFont="1" applyFill="1" applyBorder="1"/>
    <xf numFmtId="164" fontId="3" fillId="11" borderId="14" xfId="1" applyNumberFormat="1" applyFill="1" applyBorder="1"/>
    <xf numFmtId="164" fontId="4" fillId="11" borderId="14" xfId="1" applyNumberFormat="1" applyFont="1" applyFill="1" applyBorder="1"/>
    <xf numFmtId="164" fontId="0" fillId="11" borderId="14" xfId="0" applyNumberFormat="1" applyFill="1" applyBorder="1"/>
    <xf numFmtId="164" fontId="1" fillId="0" borderId="12" xfId="0" applyNumberFormat="1" applyFont="1" applyBorder="1"/>
    <xf numFmtId="164" fontId="3" fillId="0" borderId="12" xfId="0" applyNumberFormat="1" applyFont="1" applyBorder="1"/>
    <xf numFmtId="6" fontId="0" fillId="0" borderId="12" xfId="0" applyNumberFormat="1" applyBorder="1"/>
    <xf numFmtId="168" fontId="0" fillId="0" borderId="12" xfId="0" applyNumberFormat="1" applyBorder="1"/>
    <xf numFmtId="166" fontId="0" fillId="0" borderId="12" xfId="0" applyNumberFormat="1" applyBorder="1"/>
    <xf numFmtId="9" fontId="0" fillId="0" borderId="12" xfId="0" applyNumberFormat="1" applyBorder="1"/>
    <xf numFmtId="9" fontId="3" fillId="0" borderId="12" xfId="1" applyNumberFormat="1" applyBorder="1" applyAlignment="1">
      <alignment horizontal="center"/>
    </xf>
    <xf numFmtId="9" fontId="4" fillId="0" borderId="12" xfId="1" applyNumberFormat="1" applyFont="1" applyBorder="1" applyAlignment="1">
      <alignment horizontal="center"/>
    </xf>
    <xf numFmtId="9" fontId="0" fillId="0" borderId="12" xfId="0" applyNumberFormat="1" applyBorder="1" applyAlignment="1">
      <alignment horizontal="center"/>
    </xf>
    <xf numFmtId="6" fontId="0" fillId="3" borderId="20" xfId="0" applyNumberFormat="1" applyFill="1" applyBorder="1"/>
    <xf numFmtId="0" fontId="0" fillId="0" borderId="21" xfId="0" applyBorder="1"/>
    <xf numFmtId="166" fontId="0" fillId="8" borderId="21" xfId="0" applyNumberFormat="1" applyFill="1" applyBorder="1"/>
    <xf numFmtId="6" fontId="0" fillId="0" borderId="21" xfId="0" applyNumberFormat="1" applyBorder="1"/>
    <xf numFmtId="0" fontId="0" fillId="0" borderId="22" xfId="0" applyBorder="1"/>
    <xf numFmtId="164" fontId="0" fillId="4" borderId="23" xfId="0" applyNumberFormat="1" applyFill="1" applyBorder="1"/>
    <xf numFmtId="9" fontId="0" fillId="9" borderId="0" xfId="0" applyNumberFormat="1" applyFill="1"/>
    <xf numFmtId="0" fontId="0" fillId="0" borderId="24" xfId="0" applyBorder="1"/>
    <xf numFmtId="6" fontId="0" fillId="2" borderId="23" xfId="0" applyNumberFormat="1" applyFill="1" applyBorder="1"/>
    <xf numFmtId="9" fontId="0" fillId="10" borderId="0" xfId="0" applyNumberFormat="1" applyFill="1"/>
    <xf numFmtId="168" fontId="4" fillId="7" borderId="25" xfId="0" applyNumberFormat="1" applyFont="1" applyFill="1" applyBorder="1"/>
    <xf numFmtId="0" fontId="0" fillId="0" borderId="26" xfId="0" applyBorder="1"/>
    <xf numFmtId="0" fontId="0" fillId="0" borderId="27" xfId="0" applyBorder="1"/>
    <xf numFmtId="6" fontId="0" fillId="11" borderId="20" xfId="0" applyNumberFormat="1" applyFill="1" applyBorder="1"/>
    <xf numFmtId="0" fontId="3" fillId="0" borderId="21" xfId="0" applyFont="1" applyBorder="1"/>
    <xf numFmtId="0" fontId="8" fillId="0" borderId="23" xfId="0" applyFont="1" applyBorder="1"/>
    <xf numFmtId="0" fontId="3" fillId="0" borderId="0" xfId="0" applyFont="1"/>
    <xf numFmtId="0" fontId="7" fillId="0" borderId="25" xfId="0" applyFont="1" applyBorder="1"/>
    <xf numFmtId="0" fontId="3" fillId="0" borderId="26" xfId="0" applyFont="1" applyBorder="1"/>
    <xf numFmtId="0" fontId="9" fillId="0" borderId="0" xfId="0" applyFont="1"/>
    <xf numFmtId="0" fontId="10" fillId="11" borderId="4" xfId="0" applyFont="1" applyFill="1" applyBorder="1"/>
    <xf numFmtId="0" fontId="11" fillId="11" borderId="4" xfId="0" applyFont="1" applyFill="1" applyBorder="1"/>
    <xf numFmtId="3" fontId="0" fillId="5" borderId="13" xfId="0" applyNumberFormat="1" applyFill="1" applyBorder="1" applyProtection="1">
      <protection locked="0"/>
    </xf>
    <xf numFmtId="0" fontId="3" fillId="11" borderId="13" xfId="0" applyFont="1" applyFill="1" applyBorder="1"/>
    <xf numFmtId="0" fontId="0" fillId="11" borderId="13" xfId="0" applyFill="1" applyBorder="1"/>
    <xf numFmtId="3" fontId="11" fillId="11" borderId="1" xfId="0" applyNumberFormat="1" applyFont="1" applyFill="1" applyBorder="1"/>
    <xf numFmtId="0" fontId="11" fillId="11" borderId="3" xfId="0" applyFont="1" applyFill="1" applyBorder="1"/>
    <xf numFmtId="0" fontId="10" fillId="11" borderId="1" xfId="0" applyFont="1" applyFill="1" applyBorder="1"/>
    <xf numFmtId="170" fontId="0" fillId="5" borderId="13" xfId="0" applyNumberFormat="1" applyFill="1" applyBorder="1" applyProtection="1">
      <protection locked="0"/>
    </xf>
    <xf numFmtId="172" fontId="11" fillId="11" borderId="1" xfId="0" applyNumberFormat="1" applyFont="1" applyFill="1" applyBorder="1"/>
    <xf numFmtId="171" fontId="0" fillId="5" borderId="2" xfId="0" applyNumberFormat="1" applyFill="1" applyBorder="1" applyProtection="1">
      <protection locked="0"/>
    </xf>
    <xf numFmtId="0" fontId="11" fillId="11" borderId="1" xfId="0" applyFont="1" applyFill="1" applyBorder="1"/>
    <xf numFmtId="173" fontId="6" fillId="11" borderId="2" xfId="0" applyNumberFormat="1" applyFont="1" applyFill="1" applyBorder="1" applyAlignment="1">
      <alignment horizontal="left"/>
    </xf>
    <xf numFmtId="0" fontId="11" fillId="11" borderId="2" xfId="0" applyFont="1" applyFill="1" applyBorder="1"/>
    <xf numFmtId="4" fontId="0" fillId="5" borderId="13" xfId="0" applyNumberFormat="1" applyFill="1" applyBorder="1" applyProtection="1">
      <protection locked="0"/>
    </xf>
    <xf numFmtId="3" fontId="6" fillId="11" borderId="13" xfId="0" applyNumberFormat="1" applyFont="1" applyFill="1" applyBorder="1"/>
    <xf numFmtId="165" fontId="3" fillId="0" borderId="13" xfId="0" applyNumberFormat="1" applyFont="1" applyBorder="1"/>
    <xf numFmtId="0" fontId="1" fillId="0" borderId="14" xfId="2" applyFont="1" applyBorder="1"/>
    <xf numFmtId="164" fontId="0" fillId="5" borderId="14" xfId="0" applyNumberFormat="1" applyFill="1" applyBorder="1" applyProtection="1">
      <protection locked="0"/>
    </xf>
    <xf numFmtId="0" fontId="1" fillId="0" borderId="17" xfId="0" applyFont="1" applyBorder="1"/>
    <xf numFmtId="164" fontId="0" fillId="0" borderId="17" xfId="0" applyNumberFormat="1" applyBorder="1"/>
    <xf numFmtId="164" fontId="0" fillId="5" borderId="17" xfId="0" applyNumberFormat="1" applyFill="1" applyBorder="1" applyProtection="1">
      <protection locked="0"/>
    </xf>
    <xf numFmtId="164" fontId="0" fillId="5" borderId="13" xfId="0" applyNumberFormat="1" applyFill="1" applyBorder="1" applyProtection="1">
      <protection locked="0"/>
    </xf>
    <xf numFmtId="164" fontId="4" fillId="0" borderId="13" xfId="0" applyNumberFormat="1" applyFont="1" applyBorder="1"/>
    <xf numFmtId="0" fontId="1" fillId="0" borderId="18" xfId="0" applyFont="1" applyBorder="1"/>
    <xf numFmtId="164" fontId="0" fillId="0" borderId="18" xfId="0" applyNumberFormat="1" applyBorder="1"/>
    <xf numFmtId="164" fontId="0" fillId="5" borderId="18" xfId="0" applyNumberFormat="1" applyFill="1" applyBorder="1" applyProtection="1">
      <protection locked="0"/>
    </xf>
    <xf numFmtId="164" fontId="4" fillId="0" borderId="18" xfId="0" applyNumberFormat="1" applyFont="1" applyBorder="1"/>
    <xf numFmtId="164" fontId="0" fillId="0" borderId="19" xfId="0" applyNumberFormat="1" applyBorder="1"/>
    <xf numFmtId="164" fontId="0" fillId="5" borderId="19" xfId="0" applyNumberFormat="1" applyFill="1" applyBorder="1" applyProtection="1">
      <protection locked="0"/>
    </xf>
    <xf numFmtId="0" fontId="0" fillId="0" borderId="12" xfId="0" applyBorder="1"/>
    <xf numFmtId="3" fontId="0" fillId="5" borderId="20" xfId="0" applyNumberFormat="1" applyFill="1" applyBorder="1" applyProtection="1">
      <protection locked="0"/>
    </xf>
    <xf numFmtId="0" fontId="12" fillId="0" borderId="0" xfId="0" applyFont="1"/>
    <xf numFmtId="0" fontId="9" fillId="12" borderId="0" xfId="0" applyFont="1" applyFill="1"/>
    <xf numFmtId="164" fontId="0" fillId="0" borderId="15" xfId="0" applyNumberFormat="1" applyBorder="1"/>
    <xf numFmtId="0" fontId="3" fillId="12" borderId="0" xfId="0" applyFont="1" applyFill="1" applyAlignment="1">
      <alignment vertical="top"/>
    </xf>
    <xf numFmtId="172" fontId="0" fillId="11" borderId="0" xfId="0" applyNumberFormat="1" applyFill="1"/>
    <xf numFmtId="174" fontId="0" fillId="11" borderId="0" xfId="0" applyNumberFormat="1" applyFill="1"/>
    <xf numFmtId="174" fontId="0" fillId="11" borderId="2" xfId="0" applyNumberFormat="1" applyFill="1" applyBorder="1"/>
    <xf numFmtId="0" fontId="1" fillId="0" borderId="15" xfId="2" applyFont="1" applyBorder="1"/>
    <xf numFmtId="164" fontId="1" fillId="6" borderId="14" xfId="0" applyNumberFormat="1" applyFont="1" applyFill="1" applyBorder="1" applyAlignment="1">
      <alignment horizontal="center"/>
    </xf>
    <xf numFmtId="0" fontId="1" fillId="0" borderId="0" xfId="2" applyFont="1"/>
    <xf numFmtId="0" fontId="11" fillId="11" borderId="0" xfId="0" applyFont="1" applyFill="1"/>
    <xf numFmtId="0" fontId="11" fillId="11" borderId="8" xfId="0" applyFont="1" applyFill="1" applyBorder="1"/>
    <xf numFmtId="174" fontId="11" fillId="11" borderId="1" xfId="0" applyNumberFormat="1" applyFont="1" applyFill="1" applyBorder="1"/>
    <xf numFmtId="164" fontId="0" fillId="0" borderId="13" xfId="0" applyNumberFormat="1" applyBorder="1" applyProtection="1">
      <protection locked="0"/>
    </xf>
    <xf numFmtId="3" fontId="3" fillId="5" borderId="13" xfId="0" applyNumberFormat="1" applyFont="1" applyFill="1" applyBorder="1" applyAlignment="1" applyProtection="1">
      <alignment horizontal="center"/>
      <protection locked="0"/>
    </xf>
    <xf numFmtId="3" fontId="11" fillId="11" borderId="1" xfId="0" applyNumberFormat="1" applyFont="1" applyFill="1" applyBorder="1" applyAlignment="1">
      <alignment horizontal="center"/>
    </xf>
    <xf numFmtId="9" fontId="0" fillId="5" borderId="19" xfId="0" applyNumberFormat="1" applyFill="1" applyBorder="1" applyProtection="1">
      <protection locked="0"/>
    </xf>
  </cellXfs>
  <cellStyles count="3">
    <cellStyle name="Standard" xfId="0" builtinId="0"/>
    <cellStyle name="Standard_Ausgangswerte" xfId="1" xr:uid="{00000000-0005-0000-0000-000001000000}"/>
    <cellStyle name="Standard_Ergebnis" xfId="2" xr:uid="{00000000-0005-0000-0000-000002000000}"/>
  </cellStyles>
  <dxfs count="36">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ont>
        <color rgb="FFFF0000"/>
      </font>
    </dxf>
    <dxf>
      <fill>
        <patternFill>
          <bgColor rgb="FF69D8FF"/>
        </patternFill>
      </fill>
    </dxf>
    <dxf>
      <fill>
        <patternFill>
          <bgColor rgb="FFFFFF00"/>
        </patternFill>
      </fill>
    </dxf>
    <dxf>
      <font>
        <color rgb="FFFF0000"/>
      </font>
    </dxf>
    <dxf>
      <fill>
        <patternFill>
          <bgColor rgb="FFFFC000"/>
        </patternFill>
      </fill>
    </dxf>
    <dxf>
      <fill>
        <patternFill>
          <bgColor rgb="FFFF9393"/>
        </patternFill>
      </fill>
    </dxf>
    <dxf>
      <font>
        <b/>
        <i val="0"/>
        <color rgb="FF008000"/>
      </font>
    </dxf>
    <dxf>
      <font>
        <color rgb="FFFF0000"/>
      </font>
    </dxf>
    <dxf>
      <font>
        <color theme="5"/>
      </font>
    </dxf>
    <dxf>
      <font>
        <color theme="5"/>
      </font>
    </dxf>
    <dxf>
      <font>
        <color rgb="FFFFC000"/>
      </font>
    </dxf>
    <dxf>
      <font>
        <color theme="5"/>
      </font>
    </dxf>
    <dxf>
      <font>
        <color theme="5"/>
      </font>
    </dxf>
    <dxf>
      <font>
        <color theme="5"/>
      </font>
    </dxf>
    <dxf>
      <font>
        <color theme="5"/>
      </font>
    </dxf>
    <dxf>
      <font>
        <color theme="5"/>
      </font>
    </dxf>
    <dxf>
      <font>
        <color theme="5"/>
      </font>
    </dxf>
    <dxf>
      <font>
        <color rgb="FFFF0000"/>
      </font>
    </dxf>
    <dxf>
      <font>
        <color rgb="FFFF0000"/>
      </font>
    </dxf>
    <dxf>
      <font>
        <b/>
        <i val="0"/>
        <color theme="9" tint="-0.24994659260841701"/>
      </font>
      <fill>
        <patternFill patternType="none">
          <bgColor auto="1"/>
        </patternFill>
      </fill>
    </dxf>
    <dxf>
      <fill>
        <patternFill>
          <bgColor rgb="FFB6DF89"/>
        </patternFill>
      </fill>
    </dxf>
    <dxf>
      <fill>
        <patternFill>
          <bgColor rgb="FFA162D0"/>
        </patternFill>
      </fill>
    </dxf>
    <dxf>
      <fill>
        <patternFill>
          <bgColor rgb="FFFF3F9F"/>
        </patternFill>
      </fill>
    </dxf>
    <dxf>
      <font>
        <color rgb="FFFF0000"/>
      </font>
    </dxf>
    <dxf>
      <fill>
        <patternFill>
          <bgColor rgb="FF69D8FF"/>
        </patternFill>
      </fill>
    </dxf>
    <dxf>
      <fill>
        <patternFill>
          <bgColor rgb="FFFFFF00"/>
        </patternFill>
      </fill>
    </dxf>
    <dxf>
      <fill>
        <patternFill>
          <bgColor theme="7"/>
        </patternFill>
      </fill>
    </dxf>
    <dxf>
      <font>
        <color rgb="FFFF0000"/>
      </font>
    </dxf>
    <dxf>
      <fill>
        <patternFill>
          <bgColor rgb="FFFF9393"/>
        </patternFill>
      </fill>
    </dxf>
    <dxf>
      <font>
        <b/>
        <i val="0"/>
        <color rgb="FF008000"/>
      </font>
    </dxf>
    <dxf>
      <font>
        <color rgb="FFFF0000"/>
      </font>
    </dxf>
    <dxf>
      <fill>
        <patternFill>
          <bgColor rgb="FF92D050"/>
        </patternFill>
      </fill>
    </dxf>
  </dxfs>
  <tableStyles count="0" defaultTableStyle="TableStyleMedium2" defaultPivotStyle="PivotStyleLight16"/>
  <colors>
    <mruColors>
      <color rgb="FFE1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ensammlung/Kleine%20Festplatte/Johannes/B&#252;cher/Heizung%20und%20WW/Bilder/Nutzungen/Tabelle%206%20neu,%20Haustechnikvariationen%20beim%20Altbau%20Korte,%20interaktiv,%20JS_26021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Datensammlung\Kleine%20Festplatte\Johannes\B&#252;cher\Heizung%20und%20WW\interaktive%20Tabellen\Tabelle%204%20%20060124.xlsx" TargetMode="External"/><Relationship Id="rId1" Type="http://schemas.openxmlformats.org/officeDocument/2006/relationships/externalLinkPath" Target="Tabelle%204%20%2006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ustechnikvarianten gesamt"/>
      <sheetName val="Haustechnikvarianten berechnen"/>
      <sheetName val="Tabelle1"/>
      <sheetName val="Tabelle2"/>
      <sheetName val="Tabelle3"/>
    </sheetNames>
    <sheetDataSet>
      <sheetData sheetId="0">
        <row r="8">
          <cell r="D8">
            <v>1900</v>
          </cell>
        </row>
        <row r="9">
          <cell r="D9">
            <v>4900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austechnikvarianten gesamt"/>
      <sheetName val="Haustechnikvarianten berechnen"/>
      <sheetName val="Tabelle1"/>
      <sheetName val="Tabelle2"/>
      <sheetName val="Tabelle3"/>
    </sheetNames>
    <sheetDataSet>
      <sheetData sheetId="0">
        <row r="17">
          <cell r="B17">
            <v>4000</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68"/>
  <sheetViews>
    <sheetView showGridLines="0" tabSelected="1" zoomScale="95" zoomScaleNormal="95" workbookViewId="0">
      <pane xSplit="1" topLeftCell="B1" activePane="topRight" state="frozen"/>
      <selection pane="topRight"/>
    </sheetView>
  </sheetViews>
  <sheetFormatPr baseColWidth="10" defaultRowHeight="12.75" x14ac:dyDescent="0.2"/>
  <cols>
    <col min="1" max="1" width="36.140625" customWidth="1"/>
    <col min="2" max="33" width="17.7109375" customWidth="1"/>
  </cols>
  <sheetData>
    <row r="1" spans="1:18" s="2" customFormat="1" ht="23.25" x14ac:dyDescent="0.35">
      <c r="A1" s="8" t="s">
        <v>143</v>
      </c>
      <c r="B1" s="2" t="s">
        <v>144</v>
      </c>
    </row>
    <row r="2" spans="1:18" s="2" customFormat="1" ht="23.25" x14ac:dyDescent="0.35">
      <c r="A2" s="8"/>
      <c r="B2" s="97" t="s">
        <v>168</v>
      </c>
    </row>
    <row r="3" spans="1:18" s="2" customFormat="1" ht="23.25" x14ac:dyDescent="0.35">
      <c r="A3" s="8"/>
      <c r="B3" s="94" t="s">
        <v>163</v>
      </c>
    </row>
    <row r="4" spans="1:18" ht="24.95" customHeight="1" x14ac:dyDescent="0.2">
      <c r="B4" s="133" t="s">
        <v>164</v>
      </c>
    </row>
    <row r="5" spans="1:18" x14ac:dyDescent="0.2">
      <c r="A5" s="9" t="s">
        <v>145</v>
      </c>
      <c r="B5" s="10">
        <v>18620</v>
      </c>
      <c r="C5" s="11" t="s">
        <v>146</v>
      </c>
      <c r="D5" s="12"/>
      <c r="E5" s="12"/>
      <c r="F5" s="12"/>
      <c r="G5" s="12"/>
      <c r="H5" s="13"/>
      <c r="I5" s="12"/>
      <c r="J5" s="14"/>
    </row>
    <row r="6" spans="1:18" x14ac:dyDescent="0.2">
      <c r="A6" s="9" t="s">
        <v>57</v>
      </c>
      <c r="B6" s="10">
        <v>1000</v>
      </c>
      <c r="C6" s="15" t="s">
        <v>58</v>
      </c>
      <c r="D6" s="16"/>
      <c r="E6" s="16"/>
      <c r="F6" s="16"/>
      <c r="G6" s="16"/>
      <c r="H6" s="17" t="s">
        <v>73</v>
      </c>
      <c r="I6" s="16"/>
      <c r="J6" s="18"/>
    </row>
    <row r="7" spans="1:18" x14ac:dyDescent="0.2">
      <c r="A7" s="9" t="s">
        <v>59</v>
      </c>
      <c r="B7" s="19">
        <v>12</v>
      </c>
      <c r="C7" s="15" t="s">
        <v>61</v>
      </c>
      <c r="D7" s="16"/>
      <c r="E7" s="16"/>
      <c r="F7" s="16"/>
      <c r="G7" s="16"/>
      <c r="H7" s="20" t="s">
        <v>74</v>
      </c>
      <c r="I7" s="136">
        <v>0.24</v>
      </c>
      <c r="J7" s="15" t="s">
        <v>78</v>
      </c>
      <c r="K7" s="6"/>
      <c r="L7" s="5"/>
      <c r="M7" s="4"/>
      <c r="N7" s="5"/>
      <c r="O7" s="4"/>
      <c r="P7" s="5"/>
      <c r="Q7" s="4"/>
      <c r="R7" s="4"/>
    </row>
    <row r="8" spans="1:18" x14ac:dyDescent="0.2">
      <c r="A8" s="9" t="s">
        <v>166</v>
      </c>
      <c r="B8" s="19">
        <v>12</v>
      </c>
      <c r="C8" s="15" t="s">
        <v>61</v>
      </c>
      <c r="D8" s="16"/>
      <c r="E8" s="16"/>
      <c r="F8" s="16"/>
      <c r="G8" s="16"/>
      <c r="H8" s="20" t="s">
        <v>167</v>
      </c>
      <c r="I8" s="136">
        <v>0.152</v>
      </c>
      <c r="J8" s="15" t="s">
        <v>78</v>
      </c>
      <c r="K8" s="6"/>
      <c r="L8" s="5"/>
      <c r="M8" s="4"/>
      <c r="N8" s="5"/>
      <c r="O8" s="4"/>
      <c r="P8" s="5"/>
      <c r="Q8" s="4"/>
      <c r="R8" s="4"/>
    </row>
    <row r="9" spans="1:18" x14ac:dyDescent="0.2">
      <c r="A9" s="9" t="s">
        <v>65</v>
      </c>
      <c r="B9" s="21">
        <v>100</v>
      </c>
      <c r="C9" s="21" t="s">
        <v>67</v>
      </c>
      <c r="D9" s="10">
        <v>1900</v>
      </c>
      <c r="E9" s="21" t="s">
        <v>69</v>
      </c>
      <c r="F9" s="19">
        <f>B9/D9*100</f>
        <v>5.2631578947368416</v>
      </c>
      <c r="G9" s="21" t="s">
        <v>71</v>
      </c>
      <c r="H9" s="20" t="s">
        <v>75</v>
      </c>
      <c r="I9" s="136">
        <v>0.02</v>
      </c>
      <c r="J9" s="15" t="s">
        <v>78</v>
      </c>
      <c r="K9" s="6"/>
      <c r="L9" s="5"/>
      <c r="M9" s="4"/>
      <c r="N9" s="5"/>
      <c r="O9" s="4"/>
      <c r="P9" s="5"/>
      <c r="Q9" s="4"/>
      <c r="R9" s="4"/>
    </row>
    <row r="10" spans="1:18" x14ac:dyDescent="0.2">
      <c r="A10" s="9" t="s">
        <v>66</v>
      </c>
      <c r="B10" s="21">
        <v>300</v>
      </c>
      <c r="C10" s="21" t="s">
        <v>68</v>
      </c>
      <c r="D10" s="10">
        <v>4900</v>
      </c>
      <c r="E10" s="21" t="s">
        <v>70</v>
      </c>
      <c r="F10" s="19">
        <f>B10/D10*100</f>
        <v>6.1224489795918364</v>
      </c>
      <c r="G10" s="21" t="s">
        <v>71</v>
      </c>
      <c r="H10" s="20" t="s">
        <v>76</v>
      </c>
      <c r="I10" s="136">
        <v>4.1000000000000002E-2</v>
      </c>
      <c r="J10" s="15" t="s">
        <v>78</v>
      </c>
      <c r="K10" s="6"/>
      <c r="L10" s="5"/>
      <c r="M10" s="4"/>
      <c r="N10" s="5"/>
      <c r="O10" s="4"/>
      <c r="P10" s="5"/>
      <c r="Q10" s="4"/>
      <c r="R10" s="4"/>
    </row>
    <row r="11" spans="1:18" x14ac:dyDescent="0.2">
      <c r="A11" s="9" t="s">
        <v>72</v>
      </c>
      <c r="B11" s="21">
        <v>9.5</v>
      </c>
      <c r="C11" s="15" t="s">
        <v>61</v>
      </c>
      <c r="D11" s="16"/>
      <c r="E11" s="16"/>
      <c r="F11" s="16"/>
      <c r="G11" s="16"/>
      <c r="H11" s="20" t="s">
        <v>77</v>
      </c>
      <c r="I11" s="136">
        <v>0.18</v>
      </c>
      <c r="J11" s="15" t="s">
        <v>78</v>
      </c>
      <c r="K11" s="6"/>
      <c r="L11" s="5"/>
      <c r="M11" s="4"/>
      <c r="N11" s="5"/>
      <c r="O11" s="4"/>
      <c r="P11" s="5"/>
      <c r="Q11" s="4"/>
      <c r="R11" s="4"/>
    </row>
    <row r="12" spans="1:18" x14ac:dyDescent="0.2">
      <c r="A12" s="9" t="s">
        <v>60</v>
      </c>
      <c r="B12" s="19">
        <v>40</v>
      </c>
      <c r="C12" s="15" t="s">
        <v>61</v>
      </c>
      <c r="D12" s="16"/>
      <c r="E12" s="16"/>
      <c r="F12" s="16"/>
      <c r="G12" s="16"/>
      <c r="H12" s="20" t="s">
        <v>79</v>
      </c>
      <c r="I12" s="136">
        <v>0.06</v>
      </c>
      <c r="J12" s="15" t="s">
        <v>78</v>
      </c>
      <c r="K12" s="6"/>
      <c r="L12" s="5"/>
      <c r="M12" s="4"/>
      <c r="N12" s="5"/>
      <c r="O12" s="4"/>
      <c r="P12" s="5"/>
      <c r="Q12" s="4"/>
      <c r="R12" s="4"/>
    </row>
    <row r="13" spans="1:18" x14ac:dyDescent="0.2">
      <c r="A13" s="9" t="s">
        <v>62</v>
      </c>
      <c r="B13" s="19">
        <v>30</v>
      </c>
      <c r="C13" s="15" t="s">
        <v>61</v>
      </c>
      <c r="D13" s="16"/>
      <c r="E13" s="16"/>
      <c r="F13" s="16"/>
      <c r="G13" s="16"/>
      <c r="H13" s="20" t="s">
        <v>64</v>
      </c>
      <c r="I13" s="136">
        <v>0.56000000000000005</v>
      </c>
      <c r="J13" s="15" t="s">
        <v>78</v>
      </c>
      <c r="K13" s="6"/>
      <c r="L13" s="5"/>
      <c r="M13" s="4"/>
      <c r="N13" s="5"/>
      <c r="O13" s="4"/>
      <c r="P13" s="5"/>
      <c r="Q13" s="4"/>
      <c r="R13" s="4"/>
    </row>
    <row r="14" spans="1:18" x14ac:dyDescent="0.2">
      <c r="A14" s="9" t="s">
        <v>135</v>
      </c>
      <c r="B14" s="19">
        <v>25</v>
      </c>
      <c r="C14" s="15" t="s">
        <v>61</v>
      </c>
      <c r="D14" s="16"/>
      <c r="E14" s="16"/>
      <c r="F14" s="16"/>
      <c r="G14" s="18"/>
      <c r="H14" s="16"/>
      <c r="I14" s="16"/>
      <c r="J14" s="18"/>
      <c r="K14" s="6"/>
      <c r="L14" s="5"/>
      <c r="M14" s="4"/>
      <c r="N14" s="5"/>
      <c r="O14" s="4"/>
      <c r="P14" s="5"/>
      <c r="Q14" s="4"/>
      <c r="R14" s="4"/>
    </row>
    <row r="15" spans="1:18" x14ac:dyDescent="0.2">
      <c r="A15" s="17" t="s">
        <v>154</v>
      </c>
      <c r="B15" s="134">
        <v>8.1999999999999993</v>
      </c>
      <c r="C15" s="18" t="s">
        <v>61</v>
      </c>
      <c r="D15" s="16"/>
      <c r="E15" s="16"/>
      <c r="F15" s="16"/>
      <c r="G15" s="16"/>
      <c r="H15" s="22"/>
      <c r="I15" s="135"/>
      <c r="J15" s="18"/>
      <c r="K15" s="6"/>
      <c r="L15" s="5"/>
      <c r="M15" s="4"/>
      <c r="N15" s="5"/>
      <c r="O15" s="4"/>
      <c r="P15" s="5"/>
      <c r="Q15" s="4"/>
      <c r="R15" s="4"/>
    </row>
    <row r="16" spans="1:18" x14ac:dyDescent="0.2">
      <c r="A16" s="9" t="s">
        <v>9</v>
      </c>
      <c r="B16" s="10">
        <v>20270</v>
      </c>
      <c r="C16" s="15" t="s">
        <v>27</v>
      </c>
      <c r="D16" s="16"/>
      <c r="E16" s="16"/>
      <c r="F16" s="16"/>
      <c r="G16" s="16"/>
      <c r="H16" s="22"/>
      <c r="I16" s="16"/>
      <c r="J16" s="18"/>
      <c r="K16" s="6"/>
      <c r="L16" s="5"/>
      <c r="M16" s="4"/>
      <c r="N16" s="5"/>
      <c r="O16" s="4"/>
      <c r="P16" s="5"/>
      <c r="Q16" s="4"/>
      <c r="R16" s="4"/>
    </row>
    <row r="17" spans="1:72" x14ac:dyDescent="0.2">
      <c r="A17" s="9" t="s">
        <v>26</v>
      </c>
      <c r="B17" s="10">
        <v>4000</v>
      </c>
      <c r="C17" s="15" t="s">
        <v>27</v>
      </c>
      <c r="D17" s="23"/>
      <c r="E17" s="23"/>
      <c r="F17" s="23"/>
      <c r="G17" s="23"/>
      <c r="H17" s="24"/>
      <c r="I17" s="23"/>
      <c r="J17" s="25"/>
      <c r="K17" s="3"/>
      <c r="L17" s="6"/>
      <c r="M17" s="6"/>
      <c r="N17" s="5"/>
      <c r="O17" s="4"/>
      <c r="P17" s="5"/>
      <c r="Q17" s="4"/>
      <c r="R17" s="5"/>
      <c r="S17" s="4"/>
      <c r="T17" s="4"/>
    </row>
    <row r="18" spans="1:72" x14ac:dyDescent="0.2">
      <c r="B18" s="3"/>
      <c r="C18" s="3"/>
      <c r="D18" s="6"/>
      <c r="E18" s="6"/>
      <c r="F18" s="3"/>
      <c r="G18" s="3"/>
      <c r="H18" s="3"/>
      <c r="I18" s="3"/>
      <c r="J18" s="6"/>
      <c r="K18" s="6"/>
      <c r="L18" s="5"/>
      <c r="M18" s="4"/>
      <c r="N18" s="5"/>
      <c r="O18" s="4"/>
      <c r="P18" s="5"/>
      <c r="Q18" s="4"/>
      <c r="R18" s="4"/>
    </row>
    <row r="19" spans="1:72" s="1" customFormat="1" x14ac:dyDescent="0.2"/>
    <row r="20" spans="1:72" x14ac:dyDescent="0.2">
      <c r="A20" s="34" t="s">
        <v>0</v>
      </c>
      <c r="B20" s="35" t="s">
        <v>84</v>
      </c>
      <c r="C20" s="36" t="s">
        <v>86</v>
      </c>
      <c r="D20" s="36" t="s">
        <v>91</v>
      </c>
      <c r="E20" s="36" t="s">
        <v>32</v>
      </c>
      <c r="F20" s="36" t="s">
        <v>82</v>
      </c>
      <c r="G20" s="37" t="s">
        <v>83</v>
      </c>
      <c r="H20" s="37" t="s">
        <v>49</v>
      </c>
      <c r="I20" s="36" t="s">
        <v>33</v>
      </c>
      <c r="J20" s="36" t="s">
        <v>34</v>
      </c>
      <c r="K20" s="38" t="s">
        <v>35</v>
      </c>
      <c r="L20" s="36" t="s">
        <v>36</v>
      </c>
      <c r="M20" s="36" t="s">
        <v>98</v>
      </c>
      <c r="N20" s="39" t="s">
        <v>99</v>
      </c>
      <c r="O20" s="39" t="s">
        <v>102</v>
      </c>
      <c r="P20" s="36" t="s">
        <v>37</v>
      </c>
      <c r="Q20" s="36" t="s">
        <v>38</v>
      </c>
      <c r="R20" s="36" t="s">
        <v>47</v>
      </c>
      <c r="S20" s="40" t="s">
        <v>128</v>
      </c>
      <c r="T20" s="40" t="s">
        <v>129</v>
      </c>
      <c r="U20" s="36" t="s">
        <v>108</v>
      </c>
      <c r="V20" s="36" t="s">
        <v>109</v>
      </c>
      <c r="W20" s="41" t="s">
        <v>105</v>
      </c>
      <c r="X20" s="41" t="s">
        <v>107</v>
      </c>
      <c r="Y20" s="41" t="s">
        <v>113</v>
      </c>
      <c r="Z20" s="137" t="s">
        <v>158</v>
      </c>
      <c r="AA20" s="36" t="s">
        <v>39</v>
      </c>
      <c r="AB20" s="36" t="s">
        <v>40</v>
      </c>
      <c r="AC20" s="36" t="s">
        <v>41</v>
      </c>
      <c r="AD20" s="36" t="s">
        <v>42</v>
      </c>
      <c r="AE20" s="36" t="s">
        <v>43</v>
      </c>
      <c r="AF20" s="36" t="s">
        <v>44</v>
      </c>
      <c r="AG20" s="36" t="s">
        <v>45</v>
      </c>
    </row>
    <row r="21" spans="1:72" s="1" customFormat="1" x14ac:dyDescent="0.2">
      <c r="A21" s="29"/>
      <c r="B21" s="30" t="s">
        <v>130</v>
      </c>
      <c r="C21" s="30" t="s">
        <v>87</v>
      </c>
      <c r="D21" s="30" t="s">
        <v>87</v>
      </c>
      <c r="E21" s="30" t="s">
        <v>4</v>
      </c>
      <c r="F21" s="30" t="s">
        <v>81</v>
      </c>
      <c r="G21" s="30" t="s">
        <v>50</v>
      </c>
      <c r="H21" s="30" t="s">
        <v>50</v>
      </c>
      <c r="I21" s="30" t="s">
        <v>77</v>
      </c>
      <c r="J21" s="30" t="s">
        <v>77</v>
      </c>
      <c r="K21" s="29" t="s">
        <v>7</v>
      </c>
      <c r="L21" s="30" t="s">
        <v>7</v>
      </c>
      <c r="M21" s="30" t="s">
        <v>8</v>
      </c>
      <c r="N21" s="30" t="s">
        <v>100</v>
      </c>
      <c r="O21" s="30" t="s">
        <v>52</v>
      </c>
      <c r="P21" s="30" t="s">
        <v>12</v>
      </c>
      <c r="Q21" s="30" t="s">
        <v>12</v>
      </c>
      <c r="R21" s="30" t="s">
        <v>12</v>
      </c>
      <c r="S21" s="29" t="s">
        <v>12</v>
      </c>
      <c r="T21" s="29" t="s">
        <v>12</v>
      </c>
      <c r="U21" s="30" t="s">
        <v>14</v>
      </c>
      <c r="V21" s="30" t="s">
        <v>110</v>
      </c>
      <c r="W21" s="30" t="s">
        <v>106</v>
      </c>
      <c r="X21" s="30" t="s">
        <v>106</v>
      </c>
      <c r="Y21" s="30" t="s">
        <v>106</v>
      </c>
      <c r="Z21" s="115" t="s">
        <v>159</v>
      </c>
      <c r="AA21" s="30" t="s">
        <v>8</v>
      </c>
      <c r="AB21" s="30" t="s">
        <v>7</v>
      </c>
      <c r="AC21" s="30" t="s">
        <v>7</v>
      </c>
      <c r="AD21" s="30" t="s">
        <v>8</v>
      </c>
      <c r="AE21" s="30" t="s">
        <v>8</v>
      </c>
      <c r="AF21" s="30" t="s">
        <v>8</v>
      </c>
      <c r="AG21" s="30" t="s">
        <v>8</v>
      </c>
    </row>
    <row r="22" spans="1:72" s="1" customFormat="1" x14ac:dyDescent="0.2">
      <c r="A22" s="29"/>
      <c r="B22" s="30"/>
      <c r="C22" s="30" t="s">
        <v>48</v>
      </c>
      <c r="D22" s="30" t="s">
        <v>48</v>
      </c>
      <c r="E22" s="30"/>
      <c r="F22" s="30"/>
      <c r="G22" s="30" t="s">
        <v>114</v>
      </c>
      <c r="H22" s="30" t="s">
        <v>51</v>
      </c>
      <c r="I22" s="30" t="s">
        <v>10</v>
      </c>
      <c r="J22" s="30" t="s">
        <v>11</v>
      </c>
      <c r="K22" s="29" t="s">
        <v>125</v>
      </c>
      <c r="L22" s="30" t="s">
        <v>96</v>
      </c>
      <c r="M22" s="30" t="s">
        <v>96</v>
      </c>
      <c r="N22" s="30" t="s">
        <v>101</v>
      </c>
      <c r="O22" s="30" t="s">
        <v>131</v>
      </c>
      <c r="P22" s="30" t="s">
        <v>103</v>
      </c>
      <c r="Q22" s="30" t="s">
        <v>103</v>
      </c>
      <c r="R22" s="30" t="s">
        <v>103</v>
      </c>
      <c r="S22" s="29" t="s">
        <v>103</v>
      </c>
      <c r="T22" s="29" t="s">
        <v>103</v>
      </c>
      <c r="U22" s="30" t="s">
        <v>104</v>
      </c>
      <c r="V22" s="30" t="s">
        <v>104</v>
      </c>
      <c r="W22" s="30" t="s">
        <v>16</v>
      </c>
      <c r="X22" s="30" t="s">
        <v>16</v>
      </c>
      <c r="Y22" s="30" t="s">
        <v>16</v>
      </c>
      <c r="Z22" s="115" t="s">
        <v>16</v>
      </c>
      <c r="AA22" s="30" t="s">
        <v>17</v>
      </c>
      <c r="AB22" s="30" t="s">
        <v>18</v>
      </c>
      <c r="AC22" s="30" t="s">
        <v>18</v>
      </c>
      <c r="AD22" s="30" t="s">
        <v>18</v>
      </c>
      <c r="AE22" s="30" t="s">
        <v>18</v>
      </c>
      <c r="AF22" s="30" t="s">
        <v>17</v>
      </c>
      <c r="AG22" s="30" t="s">
        <v>17</v>
      </c>
    </row>
    <row r="23" spans="1:72" s="1" customFormat="1" x14ac:dyDescent="0.2">
      <c r="A23" s="29"/>
      <c r="B23" s="30"/>
      <c r="C23" s="30" t="s">
        <v>89</v>
      </c>
      <c r="D23" s="30" t="s">
        <v>92</v>
      </c>
      <c r="E23" s="30"/>
      <c r="F23" s="30"/>
      <c r="G23" s="30"/>
      <c r="H23" s="30"/>
      <c r="I23" s="30"/>
      <c r="J23" s="30"/>
      <c r="K23" s="29" t="s">
        <v>126</v>
      </c>
      <c r="L23" s="30"/>
      <c r="M23" s="30"/>
      <c r="N23" s="30" t="s">
        <v>124</v>
      </c>
      <c r="O23" s="30" t="s">
        <v>124</v>
      </c>
      <c r="P23" s="30" t="s">
        <v>132</v>
      </c>
      <c r="Q23" s="30" t="s">
        <v>124</v>
      </c>
      <c r="R23" s="30" t="s">
        <v>124</v>
      </c>
      <c r="S23" s="29" t="s">
        <v>127</v>
      </c>
      <c r="T23" s="29" t="s">
        <v>127</v>
      </c>
      <c r="U23" s="30" t="s">
        <v>53</v>
      </c>
      <c r="V23" s="30" t="s">
        <v>53</v>
      </c>
      <c r="W23" s="30"/>
      <c r="X23" s="30" t="s">
        <v>18</v>
      </c>
      <c r="Y23" s="30" t="s">
        <v>18</v>
      </c>
      <c r="Z23" s="115"/>
      <c r="AA23" s="30"/>
      <c r="AB23" s="30"/>
      <c r="AC23" s="30" t="s">
        <v>111</v>
      </c>
      <c r="AD23" s="30"/>
      <c r="AE23" s="30" t="s">
        <v>111</v>
      </c>
      <c r="AF23" s="30" t="s">
        <v>18</v>
      </c>
      <c r="AG23" s="30" t="s">
        <v>18</v>
      </c>
    </row>
    <row r="24" spans="1:72" s="1" customFormat="1" x14ac:dyDescent="0.2">
      <c r="A24" s="29"/>
      <c r="B24" s="30"/>
      <c r="C24" s="30" t="s">
        <v>90</v>
      </c>
      <c r="D24" s="30" t="s">
        <v>90</v>
      </c>
      <c r="E24" s="30"/>
      <c r="F24" s="30"/>
      <c r="G24" s="30"/>
      <c r="H24" s="30"/>
      <c r="I24" s="30"/>
      <c r="J24" s="30"/>
      <c r="K24" s="29"/>
      <c r="L24" s="30"/>
      <c r="M24" s="30"/>
      <c r="N24" s="30"/>
      <c r="O24" s="30"/>
      <c r="P24" s="30"/>
      <c r="Q24" s="30"/>
      <c r="R24" s="30" t="s">
        <v>111</v>
      </c>
      <c r="S24" s="29"/>
      <c r="T24" s="29" t="s">
        <v>111</v>
      </c>
      <c r="U24" s="30"/>
      <c r="V24" s="30"/>
      <c r="W24" s="30"/>
      <c r="X24" s="30"/>
      <c r="Y24" s="30" t="s">
        <v>111</v>
      </c>
      <c r="Z24" s="115"/>
      <c r="AA24" s="30"/>
      <c r="AB24" s="30"/>
      <c r="AC24" s="30" t="s">
        <v>112</v>
      </c>
      <c r="AD24" s="30"/>
      <c r="AE24" s="30" t="s">
        <v>134</v>
      </c>
      <c r="AF24" s="30"/>
      <c r="AG24" s="30" t="s">
        <v>13</v>
      </c>
    </row>
    <row r="25" spans="1:72" s="1" customFormat="1" x14ac:dyDescent="0.2">
      <c r="A25" s="42"/>
      <c r="B25" s="42"/>
      <c r="C25" s="42"/>
      <c r="D25" s="42"/>
      <c r="E25" s="42"/>
      <c r="F25" s="42"/>
      <c r="G25" s="42"/>
      <c r="H25" s="42"/>
      <c r="I25" s="42"/>
      <c r="J25" s="42"/>
      <c r="K25" s="42"/>
      <c r="L25" s="43"/>
      <c r="M25" s="43"/>
      <c r="N25" s="43"/>
      <c r="O25" s="43"/>
      <c r="P25" s="43"/>
      <c r="Q25" s="43"/>
      <c r="R25" s="43" t="s">
        <v>112</v>
      </c>
      <c r="S25" s="42"/>
      <c r="T25" s="42" t="s">
        <v>112</v>
      </c>
      <c r="U25" s="43"/>
      <c r="V25" s="43"/>
      <c r="W25" s="43"/>
      <c r="X25" s="43"/>
      <c r="Y25" s="43" t="s">
        <v>112</v>
      </c>
      <c r="Z25" s="42"/>
      <c r="AA25" s="43"/>
      <c r="AB25" s="43"/>
      <c r="AC25" s="43"/>
      <c r="AD25" s="43"/>
      <c r="AE25" s="43"/>
      <c r="AF25" s="43"/>
      <c r="AG25" s="43"/>
    </row>
    <row r="26" spans="1:72" s="1" customFormat="1"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72" s="1" customFormat="1" x14ac:dyDescent="0.2">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138"/>
      <c r="AA27" s="32"/>
      <c r="AB27" s="32"/>
      <c r="AC27" s="32"/>
      <c r="AD27" s="32"/>
      <c r="AE27" s="32"/>
      <c r="AF27" s="32"/>
      <c r="AG27" s="32"/>
    </row>
    <row r="28" spans="1:72" s="1" customFormat="1" x14ac:dyDescent="0.2">
      <c r="A28" s="44" t="s">
        <v>19</v>
      </c>
      <c r="B28" s="45"/>
      <c r="C28" s="46">
        <v>12000</v>
      </c>
      <c r="D28" s="46">
        <v>12000</v>
      </c>
      <c r="E28" s="46">
        <v>21000</v>
      </c>
      <c r="F28" s="46">
        <v>28000</v>
      </c>
      <c r="G28" s="46">
        <v>35000</v>
      </c>
      <c r="H28" s="46">
        <v>42000</v>
      </c>
      <c r="I28" s="46">
        <v>12000</v>
      </c>
      <c r="J28" s="46">
        <v>12000</v>
      </c>
      <c r="K28" s="45">
        <v>25000</v>
      </c>
      <c r="L28" s="46">
        <v>25000</v>
      </c>
      <c r="M28" s="46">
        <v>41200</v>
      </c>
      <c r="N28" s="46">
        <v>12000</v>
      </c>
      <c r="O28" s="46">
        <v>12000</v>
      </c>
      <c r="P28" s="46">
        <v>4000</v>
      </c>
      <c r="Q28" s="46">
        <v>12000</v>
      </c>
      <c r="R28" s="46">
        <v>12000</v>
      </c>
      <c r="S28" s="45">
        <v>28000</v>
      </c>
      <c r="T28" s="45">
        <v>28000</v>
      </c>
      <c r="U28" s="46">
        <v>21000</v>
      </c>
      <c r="V28" s="46">
        <v>28000</v>
      </c>
      <c r="W28" s="46">
        <v>30000</v>
      </c>
      <c r="X28" s="46">
        <v>30000</v>
      </c>
      <c r="Y28" s="46">
        <v>30000</v>
      </c>
      <c r="Z28" s="45">
        <v>40000</v>
      </c>
      <c r="AA28" s="46">
        <v>42300</v>
      </c>
      <c r="AB28" s="46">
        <v>25000</v>
      </c>
      <c r="AC28" s="46">
        <v>25000</v>
      </c>
      <c r="AD28" s="46">
        <v>41200</v>
      </c>
      <c r="AE28" s="46">
        <v>41200</v>
      </c>
      <c r="AF28" s="46">
        <v>42300</v>
      </c>
      <c r="AG28" s="46">
        <v>42300</v>
      </c>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row>
    <row r="29" spans="1:72" s="1" customFormat="1" x14ac:dyDescent="0.2">
      <c r="A29" s="47" t="s">
        <v>95</v>
      </c>
      <c r="B29" s="48"/>
      <c r="C29" s="49"/>
      <c r="D29" s="49"/>
      <c r="E29" s="49"/>
      <c r="F29" s="49"/>
      <c r="G29" s="49"/>
      <c r="H29" s="49"/>
      <c r="I29" s="49"/>
      <c r="J29" s="49"/>
      <c r="K29" s="48"/>
      <c r="L29" s="49"/>
      <c r="M29" s="49"/>
      <c r="N29" s="49"/>
      <c r="O29" s="49"/>
      <c r="P29" s="49"/>
      <c r="Q29" s="49"/>
      <c r="R29" s="49"/>
      <c r="S29" s="48"/>
      <c r="T29" s="48"/>
      <c r="U29" s="49"/>
      <c r="V29" s="49"/>
      <c r="W29" s="49"/>
      <c r="X29" s="49"/>
      <c r="Y29" s="49"/>
      <c r="Z29" s="48"/>
      <c r="AA29" s="49"/>
      <c r="AB29" s="49"/>
      <c r="AC29" s="49"/>
      <c r="AD29" s="49"/>
      <c r="AE29" s="49"/>
      <c r="AF29" s="49"/>
      <c r="AG29" s="49"/>
    </row>
    <row r="30" spans="1:72" s="1" customFormat="1" x14ac:dyDescent="0.2">
      <c r="A30" s="47" t="s">
        <v>93</v>
      </c>
      <c r="B30" s="48"/>
      <c r="C30" s="49"/>
      <c r="D30" s="49"/>
      <c r="E30" s="49">
        <v>1000</v>
      </c>
      <c r="F30" s="49">
        <v>2000</v>
      </c>
      <c r="G30" s="49"/>
      <c r="H30" s="49"/>
      <c r="I30" s="49"/>
      <c r="J30" s="49"/>
      <c r="K30" s="48"/>
      <c r="L30" s="49"/>
      <c r="M30" s="49"/>
      <c r="N30" s="49"/>
      <c r="O30" s="49"/>
      <c r="P30" s="49"/>
      <c r="Q30" s="49"/>
      <c r="R30" s="49"/>
      <c r="S30" s="48">
        <v>2000</v>
      </c>
      <c r="T30" s="48">
        <v>2000</v>
      </c>
      <c r="U30" s="49">
        <v>1000</v>
      </c>
      <c r="V30" s="49">
        <v>2000</v>
      </c>
      <c r="W30" s="49"/>
      <c r="X30" s="49"/>
      <c r="Y30" s="49"/>
      <c r="Z30" s="48"/>
      <c r="AA30" s="49"/>
      <c r="AB30" s="49"/>
      <c r="AC30" s="49"/>
      <c r="AD30" s="49"/>
      <c r="AE30" s="49"/>
      <c r="AF30" s="49"/>
      <c r="AG30" s="49"/>
    </row>
    <row r="31" spans="1:72" s="1" customFormat="1" x14ac:dyDescent="0.2">
      <c r="A31" s="47" t="s">
        <v>162</v>
      </c>
      <c r="B31" s="48"/>
      <c r="C31" s="49">
        <v>4000</v>
      </c>
      <c r="D31" s="49">
        <v>4000</v>
      </c>
      <c r="E31" s="49">
        <v>6000</v>
      </c>
      <c r="F31" s="49">
        <v>5000</v>
      </c>
      <c r="G31" s="49">
        <v>5000</v>
      </c>
      <c r="H31" s="49">
        <v>5000</v>
      </c>
      <c r="I31" s="49">
        <v>4000</v>
      </c>
      <c r="J31" s="49">
        <v>4000</v>
      </c>
      <c r="K31" s="48">
        <v>4000</v>
      </c>
      <c r="L31" s="49">
        <v>5000</v>
      </c>
      <c r="M31" s="49">
        <v>5000</v>
      </c>
      <c r="N31" s="49">
        <v>3000</v>
      </c>
      <c r="O31" s="49">
        <v>3000</v>
      </c>
      <c r="P31" s="49">
        <v>7000</v>
      </c>
      <c r="Q31" s="49">
        <v>7000</v>
      </c>
      <c r="R31" s="49">
        <v>7000</v>
      </c>
      <c r="S31" s="48">
        <v>7000</v>
      </c>
      <c r="T31" s="48">
        <v>7000</v>
      </c>
      <c r="U31" s="49">
        <v>3000</v>
      </c>
      <c r="V31" s="49">
        <v>3000</v>
      </c>
      <c r="W31" s="49">
        <v>5000</v>
      </c>
      <c r="X31" s="49">
        <v>5000</v>
      </c>
      <c r="Y31" s="49">
        <v>5000</v>
      </c>
      <c r="Z31" s="48">
        <v>5000</v>
      </c>
      <c r="AA31" s="49">
        <v>3000</v>
      </c>
      <c r="AB31" s="49">
        <v>5000</v>
      </c>
      <c r="AC31" s="49">
        <v>5000</v>
      </c>
      <c r="AD31" s="49">
        <v>5000</v>
      </c>
      <c r="AE31" s="49">
        <v>5000</v>
      </c>
      <c r="AF31" s="49">
        <v>3000</v>
      </c>
      <c r="AG31" s="49">
        <v>3000</v>
      </c>
    </row>
    <row r="32" spans="1:72" s="1" customFormat="1" x14ac:dyDescent="0.2">
      <c r="A32" s="47" t="s">
        <v>15</v>
      </c>
      <c r="B32" s="48"/>
      <c r="C32" s="49"/>
      <c r="D32" s="49"/>
      <c r="E32" s="49"/>
      <c r="F32" s="49"/>
      <c r="G32" s="49"/>
      <c r="H32" s="49"/>
      <c r="I32" s="49"/>
      <c r="J32" s="49"/>
      <c r="K32" s="48"/>
      <c r="L32" s="49"/>
      <c r="M32" s="49"/>
      <c r="N32" s="49">
        <v>9000</v>
      </c>
      <c r="O32" s="49">
        <v>13000</v>
      </c>
      <c r="P32" s="49"/>
      <c r="Q32" s="49"/>
      <c r="R32" s="49"/>
      <c r="S32" s="48"/>
      <c r="T32" s="48"/>
      <c r="U32" s="49">
        <v>13000</v>
      </c>
      <c r="V32" s="49">
        <v>13000</v>
      </c>
      <c r="W32" s="49"/>
      <c r="X32" s="49"/>
      <c r="Y32" s="49"/>
      <c r="Z32" s="48"/>
      <c r="AA32" s="49">
        <v>13000</v>
      </c>
      <c r="AB32" s="49"/>
      <c r="AC32" s="49"/>
      <c r="AD32" s="49"/>
      <c r="AE32" s="49"/>
      <c r="AF32" s="49">
        <v>13000</v>
      </c>
      <c r="AG32" s="49">
        <v>13000</v>
      </c>
    </row>
    <row r="33" spans="1:33" s="1" customFormat="1" x14ac:dyDescent="0.2">
      <c r="A33" s="47" t="s">
        <v>23</v>
      </c>
      <c r="B33" s="48"/>
      <c r="C33" s="49"/>
      <c r="D33" s="49"/>
      <c r="E33" s="49"/>
      <c r="F33" s="49"/>
      <c r="G33" s="49"/>
      <c r="H33" s="49"/>
      <c r="I33" s="49"/>
      <c r="J33" s="49"/>
      <c r="K33" s="48"/>
      <c r="L33" s="49"/>
      <c r="M33" s="49"/>
      <c r="N33" s="49"/>
      <c r="O33" s="49"/>
      <c r="P33" s="49">
        <v>10000</v>
      </c>
      <c r="Q33" s="49">
        <v>10000</v>
      </c>
      <c r="R33" s="49">
        <v>10000</v>
      </c>
      <c r="S33" s="48">
        <v>10000</v>
      </c>
      <c r="T33" s="48">
        <v>10000</v>
      </c>
      <c r="U33" s="49"/>
      <c r="V33" s="49"/>
      <c r="W33" s="49"/>
      <c r="X33" s="49">
        <v>10000</v>
      </c>
      <c r="Y33" s="49">
        <v>10000</v>
      </c>
      <c r="Z33" s="48"/>
      <c r="AA33" s="49"/>
      <c r="AB33" s="49">
        <v>10000</v>
      </c>
      <c r="AC33" s="49">
        <v>10000</v>
      </c>
      <c r="AD33" s="49">
        <v>10000</v>
      </c>
      <c r="AE33" s="49">
        <v>10000</v>
      </c>
      <c r="AF33" s="49">
        <v>10000</v>
      </c>
      <c r="AG33" s="49">
        <v>10000</v>
      </c>
    </row>
    <row r="34" spans="1:33" s="1" customFormat="1" x14ac:dyDescent="0.2">
      <c r="A34" s="47" t="s">
        <v>20</v>
      </c>
      <c r="B34" s="48"/>
      <c r="C34" s="49">
        <v>2000</v>
      </c>
      <c r="D34" s="49">
        <v>2000</v>
      </c>
      <c r="E34" s="49">
        <v>4000</v>
      </c>
      <c r="F34" s="49">
        <v>4000</v>
      </c>
      <c r="G34" s="49">
        <v>2000</v>
      </c>
      <c r="H34" s="49">
        <v>2000</v>
      </c>
      <c r="I34" s="49"/>
      <c r="J34" s="49"/>
      <c r="K34" s="48"/>
      <c r="L34" s="49"/>
      <c r="M34" s="49"/>
      <c r="N34" s="49">
        <v>2000</v>
      </c>
      <c r="O34" s="49">
        <v>2000</v>
      </c>
      <c r="P34" s="49"/>
      <c r="Q34" s="49">
        <v>2000</v>
      </c>
      <c r="R34" s="49">
        <v>2000</v>
      </c>
      <c r="S34" s="48">
        <v>2000</v>
      </c>
      <c r="T34" s="48">
        <v>2000</v>
      </c>
      <c r="U34" s="49">
        <v>4000</v>
      </c>
      <c r="V34" s="49">
        <v>4000</v>
      </c>
      <c r="W34" s="49">
        <v>2000</v>
      </c>
      <c r="X34" s="49">
        <v>2000</v>
      </c>
      <c r="Y34" s="49">
        <v>2000</v>
      </c>
      <c r="Z34" s="48">
        <v>2000</v>
      </c>
      <c r="AA34" s="49"/>
      <c r="AB34" s="49"/>
      <c r="AC34" s="49"/>
      <c r="AD34" s="49"/>
      <c r="AE34" s="49"/>
      <c r="AF34" s="49"/>
      <c r="AG34" s="49"/>
    </row>
    <row r="35" spans="1:33" s="1" customFormat="1" x14ac:dyDescent="0.2">
      <c r="A35" s="47" t="s">
        <v>21</v>
      </c>
      <c r="B35" s="48"/>
      <c r="C35" s="49">
        <v>2000</v>
      </c>
      <c r="D35" s="49">
        <v>2000</v>
      </c>
      <c r="E35" s="49"/>
      <c r="F35" s="49"/>
      <c r="G35" s="49">
        <v>2000</v>
      </c>
      <c r="H35" s="49">
        <v>2000</v>
      </c>
      <c r="I35" s="49"/>
      <c r="J35" s="49"/>
      <c r="K35" s="48"/>
      <c r="L35" s="49"/>
      <c r="M35" s="49"/>
      <c r="N35" s="49">
        <v>2000</v>
      </c>
      <c r="O35" s="49">
        <v>2000</v>
      </c>
      <c r="P35" s="49"/>
      <c r="Q35" s="49">
        <v>2000</v>
      </c>
      <c r="R35" s="49">
        <v>2000</v>
      </c>
      <c r="S35" s="48"/>
      <c r="T35" s="48"/>
      <c r="U35" s="49"/>
      <c r="V35" s="49"/>
      <c r="W35" s="49">
        <v>2000</v>
      </c>
      <c r="X35" s="49">
        <v>2000</v>
      </c>
      <c r="Y35" s="49">
        <v>2000</v>
      </c>
      <c r="Z35" s="48"/>
      <c r="AA35" s="49"/>
      <c r="AB35" s="49"/>
      <c r="AC35" s="49"/>
      <c r="AD35" s="49"/>
      <c r="AE35" s="49"/>
      <c r="AF35" s="49"/>
      <c r="AG35" s="49"/>
    </row>
    <row r="36" spans="1:33" s="1" customFormat="1" x14ac:dyDescent="0.2">
      <c r="A36" s="47" t="s">
        <v>22</v>
      </c>
      <c r="B36" s="48"/>
      <c r="C36" s="49">
        <v>8000</v>
      </c>
      <c r="D36" s="49">
        <v>8000</v>
      </c>
      <c r="E36" s="49">
        <v>8000</v>
      </c>
      <c r="F36" s="49">
        <v>8000</v>
      </c>
      <c r="G36" s="49">
        <v>8000</v>
      </c>
      <c r="H36" s="49">
        <v>8000</v>
      </c>
      <c r="I36" s="49">
        <v>8000</v>
      </c>
      <c r="J36" s="49">
        <v>8000</v>
      </c>
      <c r="K36" s="48">
        <v>12000</v>
      </c>
      <c r="L36" s="49">
        <v>8000</v>
      </c>
      <c r="M36" s="49">
        <v>8000</v>
      </c>
      <c r="N36" s="49">
        <v>8000</v>
      </c>
      <c r="O36" s="49">
        <v>8000</v>
      </c>
      <c r="P36" s="49"/>
      <c r="Q36" s="49">
        <v>8000</v>
      </c>
      <c r="R36" s="49">
        <v>8000</v>
      </c>
      <c r="S36" s="48">
        <v>8000</v>
      </c>
      <c r="T36" s="48">
        <v>8000</v>
      </c>
      <c r="U36" s="49">
        <v>8000</v>
      </c>
      <c r="V36" s="49">
        <v>8000</v>
      </c>
      <c r="W36" s="49">
        <v>8000</v>
      </c>
      <c r="X36" s="49">
        <v>8000</v>
      </c>
      <c r="Y36" s="49">
        <v>8000</v>
      </c>
      <c r="Z36" s="48">
        <v>8000</v>
      </c>
      <c r="AA36" s="49">
        <v>8000</v>
      </c>
      <c r="AB36" s="49">
        <v>8000</v>
      </c>
      <c r="AC36" s="49">
        <v>8000</v>
      </c>
      <c r="AD36" s="49">
        <v>8000</v>
      </c>
      <c r="AE36" s="49">
        <v>8000</v>
      </c>
      <c r="AF36" s="49">
        <v>8000</v>
      </c>
      <c r="AG36" s="49">
        <v>8000</v>
      </c>
    </row>
    <row r="37" spans="1:33" s="1" customFormat="1" x14ac:dyDescent="0.2">
      <c r="A37" s="50" t="s">
        <v>24</v>
      </c>
      <c r="B37" s="51"/>
      <c r="C37" s="52"/>
      <c r="D37" s="52"/>
      <c r="E37" s="52"/>
      <c r="F37" s="52"/>
      <c r="G37" s="52"/>
      <c r="H37" s="52"/>
      <c r="I37" s="52"/>
      <c r="J37" s="52"/>
      <c r="K37" s="51"/>
      <c r="L37" s="52"/>
      <c r="M37" s="52"/>
      <c r="N37" s="52"/>
      <c r="O37" s="52"/>
      <c r="P37" s="52"/>
      <c r="Q37" s="52"/>
      <c r="R37" s="52">
        <v>5000</v>
      </c>
      <c r="S37" s="51"/>
      <c r="T37" s="51">
        <v>5000</v>
      </c>
      <c r="U37" s="52"/>
      <c r="V37" s="52"/>
      <c r="W37" s="52"/>
      <c r="X37" s="52"/>
      <c r="Y37" s="52">
        <v>5000</v>
      </c>
      <c r="Z37" s="51"/>
      <c r="AA37" s="53"/>
      <c r="AB37" s="52"/>
      <c r="AC37" s="52">
        <v>5000</v>
      </c>
      <c r="AD37" s="52"/>
      <c r="AE37" s="52">
        <v>5000</v>
      </c>
      <c r="AF37" s="53"/>
      <c r="AG37" s="52">
        <v>5000</v>
      </c>
    </row>
    <row r="38" spans="1:33" s="1" customFormat="1" x14ac:dyDescent="0.2">
      <c r="A38" s="54" t="s">
        <v>1</v>
      </c>
      <c r="B38" s="55">
        <f>SUM(B28:B37)</f>
        <v>0</v>
      </c>
      <c r="C38" s="55">
        <f>SUM(C28:C37)</f>
        <v>28000</v>
      </c>
      <c r="D38" s="55">
        <f>SUM(D28:D37)</f>
        <v>28000</v>
      </c>
      <c r="E38" s="55">
        <f>SUM(E28:E36)</f>
        <v>40000</v>
      </c>
      <c r="F38" s="55">
        <f>SUM(F28:F37)</f>
        <v>47000</v>
      </c>
      <c r="G38" s="55">
        <f>SUM(G28:G37)</f>
        <v>52000</v>
      </c>
      <c r="H38" s="55">
        <f>SUM(H28:H37)</f>
        <v>59000</v>
      </c>
      <c r="I38" s="55">
        <f>SUM(I28:I37)</f>
        <v>24000</v>
      </c>
      <c r="J38" s="55">
        <f>SUM(J28:J36)</f>
        <v>24000</v>
      </c>
      <c r="K38" s="55">
        <f>SUM(K28:K36)</f>
        <v>41000</v>
      </c>
      <c r="L38" s="55">
        <f>SUM(L28:L36)</f>
        <v>38000</v>
      </c>
      <c r="M38" s="55">
        <f>SUM(M28:M37)</f>
        <v>54200</v>
      </c>
      <c r="N38" s="55">
        <f>SUM(N28:N36)</f>
        <v>36000</v>
      </c>
      <c r="O38" s="55">
        <f t="shared" ref="O38:AG38" si="0">SUM(O28:O37)</f>
        <v>40000</v>
      </c>
      <c r="P38" s="55">
        <f t="shared" si="0"/>
        <v>21000</v>
      </c>
      <c r="Q38" s="55">
        <f t="shared" si="0"/>
        <v>41000</v>
      </c>
      <c r="R38" s="55">
        <f t="shared" si="0"/>
        <v>46000</v>
      </c>
      <c r="S38" s="55">
        <f t="shared" si="0"/>
        <v>57000</v>
      </c>
      <c r="T38" s="55">
        <f t="shared" si="0"/>
        <v>62000</v>
      </c>
      <c r="U38" s="55">
        <f t="shared" si="0"/>
        <v>50000</v>
      </c>
      <c r="V38" s="55">
        <f t="shared" si="0"/>
        <v>58000</v>
      </c>
      <c r="W38" s="55">
        <f t="shared" si="0"/>
        <v>47000</v>
      </c>
      <c r="X38" s="55">
        <f t="shared" si="0"/>
        <v>57000</v>
      </c>
      <c r="Y38" s="55">
        <f t="shared" si="0"/>
        <v>62000</v>
      </c>
      <c r="Z38" s="55">
        <f t="shared" si="0"/>
        <v>55000</v>
      </c>
      <c r="AA38" s="55">
        <f t="shared" si="0"/>
        <v>66300</v>
      </c>
      <c r="AB38" s="55">
        <f>SUM(AB28:AB37)</f>
        <v>48000</v>
      </c>
      <c r="AC38" s="55">
        <f>SUM(AC28:AC37)</f>
        <v>53000</v>
      </c>
      <c r="AD38" s="55">
        <f t="shared" si="0"/>
        <v>64200</v>
      </c>
      <c r="AE38" s="55">
        <f t="shared" si="0"/>
        <v>69200</v>
      </c>
      <c r="AF38" s="55">
        <f t="shared" si="0"/>
        <v>76300</v>
      </c>
      <c r="AG38" s="55">
        <f t="shared" si="0"/>
        <v>81300</v>
      </c>
    </row>
    <row r="39" spans="1:33" s="1" customFormat="1" x14ac:dyDescent="0.2">
      <c r="A39" s="34" t="s">
        <v>155</v>
      </c>
      <c r="B39" s="132"/>
      <c r="C39" s="132"/>
      <c r="D39" s="132"/>
      <c r="E39" s="132">
        <v>0</v>
      </c>
      <c r="F39" s="132">
        <v>0</v>
      </c>
      <c r="G39" s="132"/>
      <c r="H39" s="132">
        <f>IF(H28+H31+H34+H35+H36&gt;60000,60000,H28+H31+H34+H35+H36)</f>
        <v>59000</v>
      </c>
      <c r="I39" s="132">
        <f>IF(I28+I31+I36&gt;60000,60000,I28+I31+I36)</f>
        <v>24000</v>
      </c>
      <c r="J39" s="132">
        <f>IF(J28+J31+J36&gt;60000,60000,J28+J31+J36)</f>
        <v>24000</v>
      </c>
      <c r="K39" s="132">
        <f>IF(K28+K31+K36&gt;60000,60000,K28+K31+K36)</f>
        <v>41000</v>
      </c>
      <c r="L39" s="132">
        <f>IF(L28+L31+L36&gt;60000,60000,L28+L31+L36)</f>
        <v>38000</v>
      </c>
      <c r="M39" s="132">
        <f>IF(M28+M31+M36&gt;60000,60000,M28+M31+M36)</f>
        <v>54200</v>
      </c>
      <c r="N39" s="132">
        <f>IF(N32+N31&gt;60000,60000,N32+N31)</f>
        <v>12000</v>
      </c>
      <c r="O39" s="132">
        <f>IF(O32+O31&gt;60000,60000,O32+O31)</f>
        <v>16000</v>
      </c>
      <c r="P39" s="132"/>
      <c r="Q39" s="132"/>
      <c r="R39" s="132"/>
      <c r="S39" s="132">
        <f>IF(S28+S30+S31+S34+S36-4000&gt;60000,60000,S28+S30+S31+S34+S36-4000)</f>
        <v>43000</v>
      </c>
      <c r="T39" s="132">
        <f>IF(T28+T30+T31+T34+T36-4000&gt;60000,60000,T28+T30+T31+T34+T36-4000)</f>
        <v>43000</v>
      </c>
      <c r="U39" s="132">
        <f>IF(U28+U30+U31+U32+U34+U36&gt;60000,60000,U28+U30+U31+U32+U34+U36)</f>
        <v>50000</v>
      </c>
      <c r="V39" s="132">
        <f>IF(V28+V30+V31+V32+V34+V36&gt;60000,60000,V28+V30+V31+V32+V34+V36)</f>
        <v>58000</v>
      </c>
      <c r="W39" s="132">
        <v>0</v>
      </c>
      <c r="X39" s="132">
        <v>0</v>
      </c>
      <c r="Y39" s="132">
        <v>0</v>
      </c>
      <c r="Z39" s="132">
        <f>IF(Z28+Z31+Z34+Z36&gt;60000,60000,Z28+Z31+Z34+Z36)</f>
        <v>55000</v>
      </c>
      <c r="AA39" s="132">
        <f>IF(AA28+AA31+AA32+AA36&gt;60000,60000,AA28+AA31+AA32+AA36)</f>
        <v>60000</v>
      </c>
      <c r="AB39" s="132">
        <f>IF(AB28+AB31+AB36&gt;60000,60000,AB28+AB31+AB36)</f>
        <v>38000</v>
      </c>
      <c r="AC39" s="132">
        <f>IF(AC28+AC31+AC36&gt;60000,60000,AC28+AC31+AC36)</f>
        <v>38000</v>
      </c>
      <c r="AD39" s="132">
        <f>IF(AD28+AD31+AD36&gt;60000,60000,AD28+AD31+AD36)</f>
        <v>54200</v>
      </c>
      <c r="AE39" s="132">
        <f>IF(AE28+AE31+AE36&gt;60000,60000,AE28+AE31+AE36)</f>
        <v>54200</v>
      </c>
      <c r="AF39" s="132">
        <f>IF(AF28+AF31+AF32+AF36&gt;60000,60000,AF28+AF31+AF32+AF36)</f>
        <v>60000</v>
      </c>
      <c r="AG39" s="132">
        <f>IF(AG28+AG31+AG32+AG36&gt;60000,60000,AG28+AG31+AG32+AG36)</f>
        <v>60000</v>
      </c>
    </row>
    <row r="40" spans="1:33" s="1" customFormat="1" x14ac:dyDescent="0.2">
      <c r="A40" s="34" t="s">
        <v>156</v>
      </c>
      <c r="B40" s="132"/>
      <c r="C40" s="132"/>
      <c r="D40" s="132"/>
      <c r="E40" s="132">
        <f>0.2*E39</f>
        <v>0</v>
      </c>
      <c r="F40" s="132">
        <f>0.2*F39</f>
        <v>0</v>
      </c>
      <c r="G40" s="132"/>
      <c r="H40" s="132">
        <f>0.35*H39</f>
        <v>20650</v>
      </c>
      <c r="I40" s="132">
        <f>0.4*I39</f>
        <v>9600</v>
      </c>
      <c r="J40" s="132">
        <f>0.4*J39</f>
        <v>9600</v>
      </c>
      <c r="K40" s="132">
        <f>0.4*K39</f>
        <v>16400</v>
      </c>
      <c r="L40" s="132">
        <f>0.4*L39</f>
        <v>15200</v>
      </c>
      <c r="M40" s="132">
        <f>0.4*M39</f>
        <v>21680</v>
      </c>
      <c r="N40" s="132">
        <f>0.25*N39</f>
        <v>3000</v>
      </c>
      <c r="O40" s="132">
        <f>0.25*O39</f>
        <v>4000</v>
      </c>
      <c r="P40" s="132"/>
      <c r="Q40" s="132"/>
      <c r="R40" s="132"/>
      <c r="S40" s="132">
        <f>0.2*S39</f>
        <v>8600</v>
      </c>
      <c r="T40" s="132">
        <f>0.2*T39</f>
        <v>8600</v>
      </c>
      <c r="U40" s="132">
        <f>0.2*(U39-U31-U32)+0.35*(U31+U32)</f>
        <v>12400</v>
      </c>
      <c r="V40" s="132">
        <f>0.2*(V39-V31-V32)+0.35*(V31+V32)</f>
        <v>14000</v>
      </c>
      <c r="W40" s="132">
        <f t="shared" ref="W40:Y40" si="1">0.3*W39</f>
        <v>0</v>
      </c>
      <c r="X40" s="132">
        <f t="shared" si="1"/>
        <v>0</v>
      </c>
      <c r="Y40" s="132">
        <f t="shared" si="1"/>
        <v>0</v>
      </c>
      <c r="Z40" s="132">
        <f>0.2*Z39</f>
        <v>11000</v>
      </c>
      <c r="AA40" s="132">
        <f>0.4*(AA39-AA31-AA32)+0.35*(AA31+AA32)</f>
        <v>23200</v>
      </c>
      <c r="AB40" s="132">
        <f>0.4*AB39</f>
        <v>15200</v>
      </c>
      <c r="AC40" s="132">
        <f>0.4*AC39</f>
        <v>15200</v>
      </c>
      <c r="AD40" s="132">
        <f>0.4*AD39</f>
        <v>21680</v>
      </c>
      <c r="AE40" s="132">
        <f>0.4*AE39</f>
        <v>21680</v>
      </c>
      <c r="AF40" s="132">
        <f>0.4*(AF39-AF31-AF32)+0.35*(AF31+AF32)</f>
        <v>23200</v>
      </c>
      <c r="AG40" s="132">
        <f>0.4*(AG39-AG31-AG32)+0.35*(AG31+AG32)</f>
        <v>23200</v>
      </c>
    </row>
    <row r="41" spans="1:33" s="1" customFormat="1" x14ac:dyDescent="0.2">
      <c r="A41" s="34" t="s">
        <v>157</v>
      </c>
      <c r="B41" s="132"/>
      <c r="C41" s="132"/>
      <c r="D41" s="132"/>
      <c r="E41" s="132"/>
      <c r="F41" s="132"/>
      <c r="G41" s="132">
        <v>2400</v>
      </c>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row>
    <row r="42" spans="1:33" x14ac:dyDescent="0.2">
      <c r="A42" s="56" t="s">
        <v>6</v>
      </c>
      <c r="B42" s="57"/>
      <c r="C42" s="58">
        <f>C40+C41</f>
        <v>0</v>
      </c>
      <c r="D42" s="58">
        <f t="shared" ref="D42:AG42" si="2">D40+D41</f>
        <v>0</v>
      </c>
      <c r="E42" s="58">
        <f t="shared" si="2"/>
        <v>0</v>
      </c>
      <c r="F42" s="58">
        <f t="shared" si="2"/>
        <v>0</v>
      </c>
      <c r="G42" s="58">
        <f t="shared" si="2"/>
        <v>2400</v>
      </c>
      <c r="H42" s="58">
        <f t="shared" si="2"/>
        <v>20650</v>
      </c>
      <c r="I42" s="58">
        <f t="shared" si="2"/>
        <v>9600</v>
      </c>
      <c r="J42" s="58">
        <f t="shared" si="2"/>
        <v>9600</v>
      </c>
      <c r="K42" s="58">
        <f t="shared" si="2"/>
        <v>16400</v>
      </c>
      <c r="L42" s="58">
        <f t="shared" si="2"/>
        <v>15200</v>
      </c>
      <c r="M42" s="58">
        <f t="shared" si="2"/>
        <v>21680</v>
      </c>
      <c r="N42" s="58">
        <f t="shared" si="2"/>
        <v>3000</v>
      </c>
      <c r="O42" s="58">
        <f t="shared" si="2"/>
        <v>4000</v>
      </c>
      <c r="P42" s="58">
        <f t="shared" si="2"/>
        <v>0</v>
      </c>
      <c r="Q42" s="58">
        <f t="shared" si="2"/>
        <v>0</v>
      </c>
      <c r="R42" s="58">
        <f t="shared" si="2"/>
        <v>0</v>
      </c>
      <c r="S42" s="58">
        <f t="shared" si="2"/>
        <v>8600</v>
      </c>
      <c r="T42" s="58">
        <f t="shared" si="2"/>
        <v>8600</v>
      </c>
      <c r="U42" s="58">
        <f t="shared" si="2"/>
        <v>12400</v>
      </c>
      <c r="V42" s="58">
        <f t="shared" si="2"/>
        <v>14000</v>
      </c>
      <c r="W42" s="58">
        <f t="shared" si="2"/>
        <v>0</v>
      </c>
      <c r="X42" s="58">
        <f t="shared" si="2"/>
        <v>0</v>
      </c>
      <c r="Y42" s="58">
        <f>Y40+Y41</f>
        <v>0</v>
      </c>
      <c r="Z42" s="58">
        <f>Z40+Z41</f>
        <v>11000</v>
      </c>
      <c r="AA42" s="58">
        <f t="shared" si="2"/>
        <v>23200</v>
      </c>
      <c r="AB42" s="58">
        <f t="shared" si="2"/>
        <v>15200</v>
      </c>
      <c r="AC42" s="58">
        <f t="shared" si="2"/>
        <v>15200</v>
      </c>
      <c r="AD42" s="58">
        <f t="shared" si="2"/>
        <v>21680</v>
      </c>
      <c r="AE42" s="58">
        <f t="shared" si="2"/>
        <v>21680</v>
      </c>
      <c r="AF42" s="58">
        <f t="shared" si="2"/>
        <v>23200</v>
      </c>
      <c r="AG42" s="58">
        <f t="shared" si="2"/>
        <v>23200</v>
      </c>
    </row>
    <row r="43" spans="1:33" x14ac:dyDescent="0.2">
      <c r="A43" s="29" t="s">
        <v>25</v>
      </c>
      <c r="B43" s="33">
        <f>B38-B42</f>
        <v>0</v>
      </c>
      <c r="C43" s="33">
        <f>C38-C42</f>
        <v>28000</v>
      </c>
      <c r="D43" s="33">
        <f>D38-D42</f>
        <v>28000</v>
      </c>
      <c r="E43" s="33">
        <f>E38-E42</f>
        <v>40000</v>
      </c>
      <c r="F43" s="33">
        <f t="shared" ref="F43:AG43" si="3">F38-F42</f>
        <v>47000</v>
      </c>
      <c r="G43" s="33">
        <f t="shared" si="3"/>
        <v>49600</v>
      </c>
      <c r="H43" s="33">
        <f t="shared" si="3"/>
        <v>38350</v>
      </c>
      <c r="I43" s="33">
        <f t="shared" si="3"/>
        <v>14400</v>
      </c>
      <c r="J43" s="33">
        <f t="shared" si="3"/>
        <v>14400</v>
      </c>
      <c r="K43" s="33">
        <f t="shared" si="3"/>
        <v>24600</v>
      </c>
      <c r="L43" s="33">
        <f t="shared" si="3"/>
        <v>22800</v>
      </c>
      <c r="M43" s="33">
        <f t="shared" si="3"/>
        <v>32520</v>
      </c>
      <c r="N43" s="33">
        <f t="shared" si="3"/>
        <v>33000</v>
      </c>
      <c r="O43" s="33">
        <f t="shared" si="3"/>
        <v>36000</v>
      </c>
      <c r="P43" s="33">
        <f t="shared" si="3"/>
        <v>21000</v>
      </c>
      <c r="Q43" s="33">
        <f t="shared" si="3"/>
        <v>41000</v>
      </c>
      <c r="R43" s="33">
        <f t="shared" ref="R43:W43" si="4">R38-R42</f>
        <v>46000</v>
      </c>
      <c r="S43" s="33">
        <f t="shared" si="4"/>
        <v>48400</v>
      </c>
      <c r="T43" s="33">
        <f t="shared" si="4"/>
        <v>53400</v>
      </c>
      <c r="U43" s="33">
        <f t="shared" si="4"/>
        <v>37600</v>
      </c>
      <c r="V43" s="33">
        <f t="shared" si="4"/>
        <v>44000</v>
      </c>
      <c r="W43" s="33">
        <f t="shared" si="4"/>
        <v>47000</v>
      </c>
      <c r="X43" s="33">
        <f t="shared" si="3"/>
        <v>57000</v>
      </c>
      <c r="Y43" s="33">
        <f>Y38-Y42</f>
        <v>62000</v>
      </c>
      <c r="Z43" s="33">
        <f>Z38-Z42</f>
        <v>44000</v>
      </c>
      <c r="AA43" s="33">
        <f t="shared" si="3"/>
        <v>43100</v>
      </c>
      <c r="AB43" s="33">
        <f t="shared" si="3"/>
        <v>32800</v>
      </c>
      <c r="AC43" s="33">
        <f t="shared" si="3"/>
        <v>37800</v>
      </c>
      <c r="AD43" s="33">
        <f t="shared" si="3"/>
        <v>42520</v>
      </c>
      <c r="AE43" s="33">
        <f t="shared" si="3"/>
        <v>47520</v>
      </c>
      <c r="AF43" s="33">
        <f t="shared" si="3"/>
        <v>53100</v>
      </c>
      <c r="AG43" s="33">
        <f t="shared" si="3"/>
        <v>58100</v>
      </c>
    </row>
    <row r="44" spans="1:33" x14ac:dyDescent="0.2">
      <c r="A44" s="54" t="s">
        <v>122</v>
      </c>
      <c r="B44" s="55">
        <v>0</v>
      </c>
      <c r="C44" s="55">
        <f t="shared" ref="C44:L44" si="5">C43-$B$43</f>
        <v>28000</v>
      </c>
      <c r="D44" s="55">
        <f t="shared" si="5"/>
        <v>28000</v>
      </c>
      <c r="E44" s="55">
        <f t="shared" si="5"/>
        <v>40000</v>
      </c>
      <c r="F44" s="55">
        <f t="shared" si="5"/>
        <v>47000</v>
      </c>
      <c r="G44" s="55">
        <f t="shared" si="5"/>
        <v>49600</v>
      </c>
      <c r="H44" s="55">
        <f t="shared" si="5"/>
        <v>38350</v>
      </c>
      <c r="I44" s="55">
        <f t="shared" si="5"/>
        <v>14400</v>
      </c>
      <c r="J44" s="55">
        <f t="shared" si="5"/>
        <v>14400</v>
      </c>
      <c r="K44" s="55">
        <f t="shared" si="5"/>
        <v>24600</v>
      </c>
      <c r="L44" s="55">
        <f t="shared" si="5"/>
        <v>22800</v>
      </c>
      <c r="M44" s="55">
        <f>M43-$B$38</f>
        <v>32520</v>
      </c>
      <c r="N44" s="55">
        <f t="shared" ref="N44:AG44" si="6">N43-$B$43</f>
        <v>33000</v>
      </c>
      <c r="O44" s="55">
        <f t="shared" si="6"/>
        <v>36000</v>
      </c>
      <c r="P44" s="55">
        <f t="shared" si="6"/>
        <v>21000</v>
      </c>
      <c r="Q44" s="55">
        <f t="shared" si="6"/>
        <v>41000</v>
      </c>
      <c r="R44" s="55">
        <f t="shared" si="6"/>
        <v>46000</v>
      </c>
      <c r="S44" s="55">
        <f>S43-$B$43</f>
        <v>48400</v>
      </c>
      <c r="T44" s="55">
        <f>T43-$B$43</f>
        <v>53400</v>
      </c>
      <c r="U44" s="55">
        <f t="shared" si="6"/>
        <v>37600</v>
      </c>
      <c r="V44" s="55">
        <f t="shared" si="6"/>
        <v>44000</v>
      </c>
      <c r="W44" s="55">
        <f t="shared" si="6"/>
        <v>47000</v>
      </c>
      <c r="X44" s="55">
        <f t="shared" si="6"/>
        <v>57000</v>
      </c>
      <c r="Y44" s="55">
        <f t="shared" si="6"/>
        <v>62000</v>
      </c>
      <c r="Z44" s="55">
        <f t="shared" si="6"/>
        <v>44000</v>
      </c>
      <c r="AA44" s="55">
        <f t="shared" si="6"/>
        <v>43100</v>
      </c>
      <c r="AB44" s="55">
        <f t="shared" si="6"/>
        <v>32800</v>
      </c>
      <c r="AC44" s="55">
        <f t="shared" si="6"/>
        <v>37800</v>
      </c>
      <c r="AD44" s="55">
        <f t="shared" si="6"/>
        <v>42520</v>
      </c>
      <c r="AE44" s="55">
        <f t="shared" si="6"/>
        <v>47520</v>
      </c>
      <c r="AF44" s="55">
        <f t="shared" si="6"/>
        <v>53100</v>
      </c>
      <c r="AG44" s="55">
        <f t="shared" si="6"/>
        <v>58100</v>
      </c>
    </row>
    <row r="45" spans="1:33" x14ac:dyDescent="0.2">
      <c r="A45" s="59" t="s">
        <v>120</v>
      </c>
      <c r="B45" s="60">
        <v>18620</v>
      </c>
      <c r="C45" s="60">
        <v>25120</v>
      </c>
      <c r="D45" s="60">
        <v>23270</v>
      </c>
      <c r="E45" s="61">
        <v>35350</v>
      </c>
      <c r="F45" s="60">
        <v>26510</v>
      </c>
      <c r="G45" s="60">
        <v>32010</v>
      </c>
      <c r="H45" s="60">
        <v>29570</v>
      </c>
      <c r="I45" s="60">
        <v>25650</v>
      </c>
      <c r="J45" s="60">
        <v>25650</v>
      </c>
      <c r="K45" s="60">
        <v>6090</v>
      </c>
      <c r="L45" s="60">
        <v>10530</v>
      </c>
      <c r="M45" s="60">
        <v>6230</v>
      </c>
      <c r="N45" s="60">
        <v>21790</v>
      </c>
      <c r="O45" s="60">
        <v>20400</v>
      </c>
      <c r="P45" s="60">
        <v>0</v>
      </c>
      <c r="Q45" s="60">
        <v>20000</v>
      </c>
      <c r="R45" s="60">
        <v>20000</v>
      </c>
      <c r="S45" s="60">
        <v>21320</v>
      </c>
      <c r="T45" s="60">
        <v>21320</v>
      </c>
      <c r="U45" s="60">
        <v>29890</v>
      </c>
      <c r="V45" s="60">
        <v>22010</v>
      </c>
      <c r="W45" s="60">
        <v>4900</v>
      </c>
      <c r="X45" s="60">
        <v>4900</v>
      </c>
      <c r="Y45" s="60">
        <v>4900</v>
      </c>
      <c r="Z45" s="60">
        <v>4900</v>
      </c>
      <c r="AA45" s="60">
        <v>4140</v>
      </c>
      <c r="AB45" s="60">
        <v>0</v>
      </c>
      <c r="AC45" s="60">
        <v>0</v>
      </c>
      <c r="AD45" s="60">
        <v>0</v>
      </c>
      <c r="AE45" s="60">
        <v>0</v>
      </c>
      <c r="AF45" s="60">
        <v>0</v>
      </c>
      <c r="AG45" s="60">
        <v>0</v>
      </c>
    </row>
    <row r="46" spans="1:33" x14ac:dyDescent="0.2">
      <c r="A46" s="62" t="s">
        <v>121</v>
      </c>
      <c r="B46" s="27">
        <v>2400</v>
      </c>
      <c r="C46" s="27">
        <v>540</v>
      </c>
      <c r="D46" s="27">
        <v>520</v>
      </c>
      <c r="E46" s="27">
        <v>500</v>
      </c>
      <c r="F46" s="27">
        <v>360</v>
      </c>
      <c r="G46" s="27">
        <v>0</v>
      </c>
      <c r="H46" s="27">
        <v>0</v>
      </c>
      <c r="I46" s="27">
        <v>310</v>
      </c>
      <c r="J46" s="27">
        <v>310</v>
      </c>
      <c r="K46" s="27">
        <v>360</v>
      </c>
      <c r="L46" s="27">
        <v>430</v>
      </c>
      <c r="M46" s="27">
        <v>520</v>
      </c>
      <c r="N46" s="27">
        <v>510</v>
      </c>
      <c r="O46" s="27">
        <v>560</v>
      </c>
      <c r="P46" s="27">
        <v>16441</v>
      </c>
      <c r="Q46" s="27">
        <v>220</v>
      </c>
      <c r="R46" s="27">
        <v>220</v>
      </c>
      <c r="S46" s="27">
        <v>130</v>
      </c>
      <c r="T46" s="27">
        <v>130</v>
      </c>
      <c r="U46" s="27">
        <v>530</v>
      </c>
      <c r="V46" s="27">
        <v>420</v>
      </c>
      <c r="W46" s="27">
        <v>5880</v>
      </c>
      <c r="X46" s="27">
        <v>3760</v>
      </c>
      <c r="Y46" s="27">
        <v>3760</v>
      </c>
      <c r="Z46" s="27">
        <v>5880</v>
      </c>
      <c r="AA46" s="27">
        <v>520</v>
      </c>
      <c r="AB46" s="63">
        <v>8540</v>
      </c>
      <c r="AC46" s="63">
        <v>8540</v>
      </c>
      <c r="AD46" s="27">
        <v>4560</v>
      </c>
      <c r="AE46" s="27">
        <v>4560</v>
      </c>
      <c r="AF46" s="27">
        <v>2930</v>
      </c>
      <c r="AG46" s="27">
        <v>2930</v>
      </c>
    </row>
    <row r="47" spans="1:33" x14ac:dyDescent="0.2">
      <c r="A47" s="62" t="s">
        <v>56</v>
      </c>
      <c r="B47" s="27">
        <f>B45+B46</f>
        <v>21020</v>
      </c>
      <c r="C47" s="27">
        <f t="shared" ref="C47:AG47" si="7">C45+C46</f>
        <v>25660</v>
      </c>
      <c r="D47" s="27">
        <f t="shared" si="7"/>
        <v>23790</v>
      </c>
      <c r="E47" s="27">
        <f t="shared" si="7"/>
        <v>35850</v>
      </c>
      <c r="F47" s="27">
        <f t="shared" si="7"/>
        <v>26870</v>
      </c>
      <c r="G47" s="27">
        <f t="shared" si="7"/>
        <v>32010</v>
      </c>
      <c r="H47" s="27">
        <f t="shared" si="7"/>
        <v>29570</v>
      </c>
      <c r="I47" s="27">
        <f t="shared" si="7"/>
        <v>25960</v>
      </c>
      <c r="J47" s="27">
        <f t="shared" si="7"/>
        <v>25960</v>
      </c>
      <c r="K47" s="27">
        <f t="shared" si="7"/>
        <v>6450</v>
      </c>
      <c r="L47" s="27">
        <f t="shared" si="7"/>
        <v>10960</v>
      </c>
      <c r="M47" s="27">
        <f t="shared" si="7"/>
        <v>6750</v>
      </c>
      <c r="N47" s="27">
        <f t="shared" si="7"/>
        <v>22300</v>
      </c>
      <c r="O47" s="27">
        <f>O45+O46</f>
        <v>20960</v>
      </c>
      <c r="P47" s="27">
        <f>P45+P46</f>
        <v>16441</v>
      </c>
      <c r="Q47" s="27">
        <f t="shared" si="7"/>
        <v>20220</v>
      </c>
      <c r="R47" s="27">
        <f t="shared" si="7"/>
        <v>20220</v>
      </c>
      <c r="S47" s="27">
        <f t="shared" si="7"/>
        <v>21450</v>
      </c>
      <c r="T47" s="27">
        <f>T45+T46</f>
        <v>21450</v>
      </c>
      <c r="U47" s="27">
        <f t="shared" si="7"/>
        <v>30420</v>
      </c>
      <c r="V47" s="27">
        <f t="shared" si="7"/>
        <v>22430</v>
      </c>
      <c r="W47" s="27">
        <f t="shared" si="7"/>
        <v>10780</v>
      </c>
      <c r="X47" s="27">
        <f t="shared" si="7"/>
        <v>8660</v>
      </c>
      <c r="Y47" s="27">
        <f t="shared" si="7"/>
        <v>8660</v>
      </c>
      <c r="Z47" s="27">
        <f t="shared" si="7"/>
        <v>10780</v>
      </c>
      <c r="AA47" s="27">
        <f t="shared" si="7"/>
        <v>4660</v>
      </c>
      <c r="AB47" s="27">
        <f t="shared" si="7"/>
        <v>8540</v>
      </c>
      <c r="AC47" s="27">
        <f t="shared" si="7"/>
        <v>8540</v>
      </c>
      <c r="AD47" s="27">
        <f t="shared" si="7"/>
        <v>4560</v>
      </c>
      <c r="AE47" s="27">
        <f t="shared" si="7"/>
        <v>4560</v>
      </c>
      <c r="AF47" s="27">
        <f t="shared" si="7"/>
        <v>2930</v>
      </c>
      <c r="AG47" s="27">
        <f t="shared" si="7"/>
        <v>2930</v>
      </c>
    </row>
    <row r="48" spans="1:33" x14ac:dyDescent="0.2">
      <c r="A48" s="62" t="s">
        <v>115</v>
      </c>
      <c r="B48" s="28">
        <f>10*ROUND((B45*$B$14+B46*$B$12)/1000,0)</f>
        <v>5620</v>
      </c>
      <c r="C48" s="28">
        <f>10*ROUND((C45*$B$7+C46*$B$12)/1000,0)</f>
        <v>3230</v>
      </c>
      <c r="D48" s="28">
        <f>10*ROUND((D45*$B$7+D46*$B$12)/1000,0)</f>
        <v>3000</v>
      </c>
      <c r="E48" s="28">
        <f>10*ROUND((E45*$F$9+E46*$B$12)/1000,0)</f>
        <v>2060</v>
      </c>
      <c r="F48" s="28">
        <f>10*ROUND((F45*$F$10+F46*$B$12)/1000,0)</f>
        <v>1770</v>
      </c>
      <c r="G48" s="28">
        <f>10*ROUND((G45*$B$7+G46*$B$12)/1000,0)</f>
        <v>3840</v>
      </c>
      <c r="H48" s="28">
        <f>10*ROUND((H45*$B$8+H46*$B$12)/1000,0)</f>
        <v>3550</v>
      </c>
      <c r="I48" s="28">
        <f>10*ROUND((I45*$B$11+I46*$B$12)/1000,0)</f>
        <v>2560</v>
      </c>
      <c r="J48" s="28">
        <f>10*ROUND((J45*$B$11+J46*$B$12)/1000,0)</f>
        <v>2560</v>
      </c>
      <c r="K48" s="28">
        <f>10*ROUND((K45*$B$13+K46*$B$12)/1000,0)</f>
        <v>1970</v>
      </c>
      <c r="L48" s="28">
        <f>10*ROUND((L45*$B$13+L46*$B$12)/1000,0)</f>
        <v>3330</v>
      </c>
      <c r="M48" s="28">
        <f>10*ROUND((M45*$B$13+M46*$B$12)/1000,0)</f>
        <v>2080</v>
      </c>
      <c r="N48" s="28">
        <f>10*ROUND((N45*$B$7+N46*$B$12)/1000,0)</f>
        <v>2820</v>
      </c>
      <c r="O48" s="28">
        <f>10*ROUND((O45*$B$7+O46*$B$12)/1000,0)</f>
        <v>2670</v>
      </c>
      <c r="P48" s="28">
        <f>10*ROUND((P45*$F$9+P46*$B$12)/1000,0)</f>
        <v>6580</v>
      </c>
      <c r="Q48" s="28">
        <f>10*ROUND((Q45*$B$7+Q46*$B$12)/1000,0)</f>
        <v>2490</v>
      </c>
      <c r="R48" s="28">
        <f>10*ROUND((R45*$B$7+R46*$B$12)/1000,0)</f>
        <v>2490</v>
      </c>
      <c r="S48" s="28">
        <f>10*ROUND((S45*$F$10+S46*$B$12)/1000,0)</f>
        <v>1360</v>
      </c>
      <c r="T48" s="28">
        <f>10*ROUND((T45*$F$10+T46*$B$12)/1000,0)</f>
        <v>1360</v>
      </c>
      <c r="U48" s="28">
        <f>10*ROUND((U45*$F$9+U46*$B$12)/1000,0)</f>
        <v>1790</v>
      </c>
      <c r="V48" s="28">
        <f>10*ROUND((V45*$F$10+V46*$B$12)/1000,0)</f>
        <v>1520</v>
      </c>
      <c r="W48" s="28">
        <f>10*ROUND((W45*$B$7+W46*$B$13*1.02)/1000,0)</f>
        <v>2390</v>
      </c>
      <c r="X48" s="28">
        <f>10*ROUND((X45*$B$7+X46*$B$12)/1000,0)</f>
        <v>2090</v>
      </c>
      <c r="Y48" s="28">
        <f>10*ROUND((Y45*$B$7+Y46*$B$12)/1000,0)</f>
        <v>2090</v>
      </c>
      <c r="Z48" s="28">
        <f>10*ROUND((Z45*$F$10+Z46*$B$13*1.02)/1000,0)</f>
        <v>2100</v>
      </c>
      <c r="AA48" s="28">
        <f t="shared" ref="AA48:AG48" si="8">10*ROUND((AA45*$B$13+AA46*$B$12)/1000,0)</f>
        <v>1450</v>
      </c>
      <c r="AB48" s="28">
        <f t="shared" si="8"/>
        <v>3420</v>
      </c>
      <c r="AC48" s="28">
        <f t="shared" si="8"/>
        <v>3420</v>
      </c>
      <c r="AD48" s="28">
        <f t="shared" si="8"/>
        <v>1820</v>
      </c>
      <c r="AE48" s="28">
        <f t="shared" si="8"/>
        <v>1820</v>
      </c>
      <c r="AF48" s="28">
        <f t="shared" si="8"/>
        <v>1170</v>
      </c>
      <c r="AG48" s="28">
        <f t="shared" si="8"/>
        <v>1170</v>
      </c>
    </row>
    <row r="49" spans="1:33" x14ac:dyDescent="0.2">
      <c r="A49" s="62" t="s">
        <v>116</v>
      </c>
      <c r="B49" s="27">
        <v>0</v>
      </c>
      <c r="C49" s="27">
        <v>0</v>
      </c>
      <c r="D49" s="27">
        <v>0</v>
      </c>
      <c r="E49" s="27">
        <v>0</v>
      </c>
      <c r="F49" s="27">
        <v>0</v>
      </c>
      <c r="G49" s="27">
        <v>6750</v>
      </c>
      <c r="H49" s="27">
        <v>6390</v>
      </c>
      <c r="I49" s="27">
        <v>0</v>
      </c>
      <c r="J49" s="27">
        <v>0</v>
      </c>
      <c r="K49" s="27">
        <v>0</v>
      </c>
      <c r="L49" s="27">
        <v>0</v>
      </c>
      <c r="M49" s="27">
        <v>0</v>
      </c>
      <c r="N49" s="27">
        <v>0</v>
      </c>
      <c r="O49" s="27">
        <v>0</v>
      </c>
      <c r="P49" s="27">
        <v>2150</v>
      </c>
      <c r="Q49" s="27">
        <v>3130</v>
      </c>
      <c r="R49" s="27">
        <v>3130</v>
      </c>
      <c r="S49" s="27">
        <v>3190</v>
      </c>
      <c r="T49" s="27">
        <v>3190</v>
      </c>
      <c r="U49" s="27">
        <v>0</v>
      </c>
      <c r="V49" s="27">
        <v>0</v>
      </c>
      <c r="W49" s="27">
        <v>0</v>
      </c>
      <c r="X49" s="27">
        <v>2710</v>
      </c>
      <c r="Y49" s="27">
        <v>2710</v>
      </c>
      <c r="Z49" s="27">
        <v>0</v>
      </c>
      <c r="AA49" s="27">
        <v>0</v>
      </c>
      <c r="AB49" s="63">
        <v>2360</v>
      </c>
      <c r="AC49" s="63">
        <v>2360</v>
      </c>
      <c r="AD49" s="63">
        <v>2600</v>
      </c>
      <c r="AE49" s="63">
        <v>2600</v>
      </c>
      <c r="AF49" s="63">
        <v>3060</v>
      </c>
      <c r="AG49" s="63">
        <v>3060</v>
      </c>
    </row>
    <row r="50" spans="1:33" x14ac:dyDescent="0.2">
      <c r="A50" s="62" t="s">
        <v>123</v>
      </c>
      <c r="B50" s="27">
        <v>0</v>
      </c>
      <c r="C50" s="27">
        <v>0</v>
      </c>
      <c r="D50" s="27">
        <v>0</v>
      </c>
      <c r="E50" s="27">
        <v>0</v>
      </c>
      <c r="F50" s="27">
        <v>0</v>
      </c>
      <c r="G50" s="27">
        <v>2040</v>
      </c>
      <c r="H50" s="27">
        <v>2320</v>
      </c>
      <c r="I50" s="27">
        <v>0</v>
      </c>
      <c r="J50" s="27">
        <v>0</v>
      </c>
      <c r="K50" s="27">
        <v>0</v>
      </c>
      <c r="L50" s="27">
        <v>0</v>
      </c>
      <c r="M50" s="27">
        <v>0</v>
      </c>
      <c r="N50" s="27">
        <v>0</v>
      </c>
      <c r="O50" s="27">
        <v>0</v>
      </c>
      <c r="P50" s="27">
        <v>650</v>
      </c>
      <c r="Q50" s="27">
        <v>940</v>
      </c>
      <c r="R50" s="27">
        <v>1880</v>
      </c>
      <c r="S50" s="27">
        <v>960</v>
      </c>
      <c r="T50" s="27">
        <v>1920</v>
      </c>
      <c r="U50" s="27">
        <v>0</v>
      </c>
      <c r="V50" s="27">
        <v>0</v>
      </c>
      <c r="W50" s="27">
        <v>0</v>
      </c>
      <c r="X50" s="27">
        <v>810</v>
      </c>
      <c r="Y50" s="27">
        <v>1620</v>
      </c>
      <c r="Z50" s="27">
        <v>0</v>
      </c>
      <c r="AA50" s="27">
        <v>0</v>
      </c>
      <c r="AB50" s="63">
        <v>710</v>
      </c>
      <c r="AC50" s="63">
        <v>1420</v>
      </c>
      <c r="AD50" s="63">
        <v>780</v>
      </c>
      <c r="AE50" s="63">
        <v>1560</v>
      </c>
      <c r="AF50" s="63">
        <v>920</v>
      </c>
      <c r="AG50" s="63">
        <v>1830</v>
      </c>
    </row>
    <row r="51" spans="1:33" x14ac:dyDescent="0.2">
      <c r="A51" s="62" t="s">
        <v>117</v>
      </c>
      <c r="B51" s="28">
        <v>0</v>
      </c>
      <c r="C51" s="28">
        <v>0</v>
      </c>
      <c r="D51" s="28">
        <v>0</v>
      </c>
      <c r="E51" s="28">
        <v>0</v>
      </c>
      <c r="F51" s="28">
        <v>0</v>
      </c>
      <c r="G51" s="28">
        <f>10*ROUND( ((G$49-G$50)*0.04+G$50*($B$12)/100)/10,0)</f>
        <v>1000</v>
      </c>
      <c r="H51" s="28">
        <f>10*ROUND( ((H$49-H$50)*0.04+H$50*($B$12)/100)/10,0)</f>
        <v>1090</v>
      </c>
      <c r="I51" s="28">
        <v>0</v>
      </c>
      <c r="J51" s="28">
        <v>0</v>
      </c>
      <c r="K51" s="28">
        <v>0</v>
      </c>
      <c r="L51" s="28">
        <v>0</v>
      </c>
      <c r="M51" s="28">
        <v>0</v>
      </c>
      <c r="N51" s="28">
        <v>0</v>
      </c>
      <c r="O51" s="28">
        <v>0</v>
      </c>
      <c r="P51" s="64">
        <f>10*ROUND(((P49-P50)*$B$15/100+P50*$B$12/100)/10,0)</f>
        <v>380</v>
      </c>
      <c r="Q51" s="64">
        <f t="shared" ref="Q51:AG51" si="9">10*ROUND(((Q49-Q50)*$B$15/100+Q50*$B$12/100)/10,0)</f>
        <v>560</v>
      </c>
      <c r="R51" s="64">
        <f t="shared" si="9"/>
        <v>850</v>
      </c>
      <c r="S51" s="64">
        <f t="shared" si="9"/>
        <v>570</v>
      </c>
      <c r="T51" s="64">
        <f t="shared" si="9"/>
        <v>870</v>
      </c>
      <c r="U51" s="64">
        <f t="shared" si="9"/>
        <v>0</v>
      </c>
      <c r="V51" s="64">
        <f t="shared" si="9"/>
        <v>0</v>
      </c>
      <c r="W51" s="64">
        <f t="shared" si="9"/>
        <v>0</v>
      </c>
      <c r="X51" s="64">
        <f t="shared" si="9"/>
        <v>480</v>
      </c>
      <c r="Y51" s="64">
        <f t="shared" si="9"/>
        <v>740</v>
      </c>
      <c r="Z51" s="64">
        <f t="shared" si="9"/>
        <v>0</v>
      </c>
      <c r="AA51" s="64">
        <f t="shared" si="9"/>
        <v>0</v>
      </c>
      <c r="AB51" s="64">
        <f t="shared" si="9"/>
        <v>420</v>
      </c>
      <c r="AC51" s="64">
        <f t="shared" si="9"/>
        <v>650</v>
      </c>
      <c r="AD51" s="64">
        <f t="shared" si="9"/>
        <v>460</v>
      </c>
      <c r="AE51" s="64">
        <f t="shared" si="9"/>
        <v>710</v>
      </c>
      <c r="AF51" s="64">
        <f t="shared" si="9"/>
        <v>540</v>
      </c>
      <c r="AG51" s="64">
        <f t="shared" si="9"/>
        <v>830</v>
      </c>
    </row>
    <row r="52" spans="1:33" x14ac:dyDescent="0.2">
      <c r="A52" s="65" t="s">
        <v>118</v>
      </c>
      <c r="B52" s="66">
        <v>0</v>
      </c>
      <c r="C52" s="67">
        <v>200</v>
      </c>
      <c r="D52" s="67">
        <v>200</v>
      </c>
      <c r="E52" s="67">
        <v>400</v>
      </c>
      <c r="F52" s="67">
        <v>400</v>
      </c>
      <c r="G52" s="67">
        <v>400</v>
      </c>
      <c r="H52" s="67">
        <v>400</v>
      </c>
      <c r="I52" s="67">
        <v>0</v>
      </c>
      <c r="J52" s="67">
        <v>0</v>
      </c>
      <c r="K52" s="68">
        <v>50</v>
      </c>
      <c r="L52" s="67">
        <v>50</v>
      </c>
      <c r="M52" s="67">
        <v>50</v>
      </c>
      <c r="N52" s="67">
        <v>200</v>
      </c>
      <c r="O52" s="67">
        <v>200</v>
      </c>
      <c r="P52" s="67">
        <v>150</v>
      </c>
      <c r="Q52" s="67">
        <v>350</v>
      </c>
      <c r="R52" s="67">
        <v>480</v>
      </c>
      <c r="S52" s="66">
        <v>550</v>
      </c>
      <c r="T52" s="66">
        <v>680</v>
      </c>
      <c r="U52" s="67">
        <v>400</v>
      </c>
      <c r="V52" s="67">
        <v>400</v>
      </c>
      <c r="W52" s="67">
        <v>250</v>
      </c>
      <c r="X52" s="67">
        <v>400</v>
      </c>
      <c r="Y52" s="67">
        <v>530</v>
      </c>
      <c r="Z52" s="67">
        <v>450</v>
      </c>
      <c r="AA52" s="67">
        <v>100</v>
      </c>
      <c r="AB52" s="67">
        <v>200</v>
      </c>
      <c r="AC52" s="67">
        <v>330</v>
      </c>
      <c r="AD52" s="67">
        <v>200</v>
      </c>
      <c r="AE52" s="67">
        <v>330</v>
      </c>
      <c r="AF52" s="67">
        <v>250</v>
      </c>
      <c r="AG52" s="67">
        <v>380</v>
      </c>
    </row>
    <row r="53" spans="1:33" x14ac:dyDescent="0.2">
      <c r="A53" s="69" t="s">
        <v>119</v>
      </c>
      <c r="B53" s="70">
        <f t="shared" ref="B53:H53" si="10">B48+B52-B51</f>
        <v>5620</v>
      </c>
      <c r="C53" s="70">
        <f t="shared" si="10"/>
        <v>3430</v>
      </c>
      <c r="D53" s="70">
        <f t="shared" si="10"/>
        <v>3200</v>
      </c>
      <c r="E53" s="70">
        <f t="shared" si="10"/>
        <v>2460</v>
      </c>
      <c r="F53" s="70">
        <f t="shared" si="10"/>
        <v>2170</v>
      </c>
      <c r="G53" s="70">
        <f t="shared" si="10"/>
        <v>3240</v>
      </c>
      <c r="H53" s="70">
        <f t="shared" si="10"/>
        <v>2860</v>
      </c>
      <c r="I53" s="70">
        <f t="shared" ref="I53:O53" si="11">I48+I52-I51</f>
        <v>2560</v>
      </c>
      <c r="J53" s="70">
        <f t="shared" si="11"/>
        <v>2560</v>
      </c>
      <c r="K53" s="70">
        <f t="shared" si="11"/>
        <v>2020</v>
      </c>
      <c r="L53" s="70">
        <f t="shared" si="11"/>
        <v>3380</v>
      </c>
      <c r="M53" s="70">
        <f t="shared" si="11"/>
        <v>2130</v>
      </c>
      <c r="N53" s="70">
        <f t="shared" si="11"/>
        <v>3020</v>
      </c>
      <c r="O53" s="70">
        <f t="shared" si="11"/>
        <v>2870</v>
      </c>
      <c r="P53" s="70">
        <f t="shared" ref="P53:AA53" si="12">P48+P52-P51</f>
        <v>6350</v>
      </c>
      <c r="Q53" s="70">
        <f t="shared" si="12"/>
        <v>2280</v>
      </c>
      <c r="R53" s="70">
        <f t="shared" si="12"/>
        <v>2120</v>
      </c>
      <c r="S53" s="70">
        <f t="shared" si="12"/>
        <v>1340</v>
      </c>
      <c r="T53" s="70">
        <f t="shared" si="12"/>
        <v>1170</v>
      </c>
      <c r="U53" s="70">
        <f t="shared" si="12"/>
        <v>2190</v>
      </c>
      <c r="V53" s="70">
        <f t="shared" si="12"/>
        <v>1920</v>
      </c>
      <c r="W53" s="70">
        <f t="shared" si="12"/>
        <v>2640</v>
      </c>
      <c r="X53" s="70">
        <f t="shared" si="12"/>
        <v>2010</v>
      </c>
      <c r="Y53" s="70">
        <f t="shared" si="12"/>
        <v>1880</v>
      </c>
      <c r="Z53" s="70">
        <f t="shared" si="12"/>
        <v>2550</v>
      </c>
      <c r="AA53" s="70">
        <f t="shared" si="12"/>
        <v>1550</v>
      </c>
      <c r="AB53" s="70">
        <f t="shared" ref="AB53:AG53" si="13">AB48+AB52-AB51</f>
        <v>3200</v>
      </c>
      <c r="AC53" s="70">
        <f t="shared" si="13"/>
        <v>3100</v>
      </c>
      <c r="AD53" s="70">
        <f t="shared" si="13"/>
        <v>1560</v>
      </c>
      <c r="AE53" s="70">
        <f t="shared" si="13"/>
        <v>1440</v>
      </c>
      <c r="AF53" s="70">
        <f t="shared" si="13"/>
        <v>880</v>
      </c>
      <c r="AG53" s="70">
        <f t="shared" si="13"/>
        <v>720</v>
      </c>
    </row>
    <row r="54" spans="1:33" x14ac:dyDescent="0.2">
      <c r="A54" s="54" t="s">
        <v>2</v>
      </c>
      <c r="B54" s="71">
        <v>0</v>
      </c>
      <c r="C54" s="71">
        <f t="shared" ref="C54:AA54" si="14">-C44-20*(C53-$B$53)</f>
        <v>15800</v>
      </c>
      <c r="D54" s="71">
        <f t="shared" si="14"/>
        <v>20400</v>
      </c>
      <c r="E54" s="71">
        <f t="shared" si="14"/>
        <v>23200</v>
      </c>
      <c r="F54" s="71">
        <f t="shared" si="14"/>
        <v>22000</v>
      </c>
      <c r="G54" s="71">
        <f t="shared" si="14"/>
        <v>-2000</v>
      </c>
      <c r="H54" s="71">
        <f t="shared" si="14"/>
        <v>16850</v>
      </c>
      <c r="I54" s="71">
        <f t="shared" si="14"/>
        <v>46800</v>
      </c>
      <c r="J54" s="71">
        <f t="shared" si="14"/>
        <v>46800</v>
      </c>
      <c r="K54" s="71">
        <f t="shared" si="14"/>
        <v>47400</v>
      </c>
      <c r="L54" s="71">
        <f t="shared" si="14"/>
        <v>22000</v>
      </c>
      <c r="M54" s="71">
        <f t="shared" si="14"/>
        <v>37280</v>
      </c>
      <c r="N54" s="71">
        <f t="shared" si="14"/>
        <v>19000</v>
      </c>
      <c r="O54" s="71">
        <f t="shared" si="14"/>
        <v>19000</v>
      </c>
      <c r="P54" s="71">
        <f t="shared" si="14"/>
        <v>-35600</v>
      </c>
      <c r="Q54" s="71">
        <f t="shared" si="14"/>
        <v>25800</v>
      </c>
      <c r="R54" s="71">
        <f t="shared" si="14"/>
        <v>24000</v>
      </c>
      <c r="S54" s="71">
        <f t="shared" si="14"/>
        <v>37200</v>
      </c>
      <c r="T54" s="71">
        <f t="shared" si="14"/>
        <v>35600</v>
      </c>
      <c r="U54" s="71">
        <f t="shared" si="14"/>
        <v>31000</v>
      </c>
      <c r="V54" s="71">
        <f t="shared" si="14"/>
        <v>30000</v>
      </c>
      <c r="W54" s="71">
        <f t="shared" si="14"/>
        <v>12600</v>
      </c>
      <c r="X54" s="71">
        <f t="shared" si="14"/>
        <v>15200</v>
      </c>
      <c r="Y54" s="71">
        <f t="shared" si="14"/>
        <v>12800</v>
      </c>
      <c r="Z54" s="71">
        <f t="shared" si="14"/>
        <v>17400</v>
      </c>
      <c r="AA54" s="71">
        <f t="shared" si="14"/>
        <v>38300</v>
      </c>
      <c r="AB54" s="71">
        <f t="shared" ref="AB54:AG54" si="15">-AB44-20*(AB53-$B$53)</f>
        <v>15600</v>
      </c>
      <c r="AC54" s="71">
        <f t="shared" si="15"/>
        <v>12600</v>
      </c>
      <c r="AD54" s="71">
        <f t="shared" si="15"/>
        <v>38680</v>
      </c>
      <c r="AE54" s="71">
        <f t="shared" si="15"/>
        <v>36080</v>
      </c>
      <c r="AF54" s="71">
        <f t="shared" si="15"/>
        <v>41700</v>
      </c>
      <c r="AG54" s="71">
        <f t="shared" si="15"/>
        <v>39900</v>
      </c>
    </row>
    <row r="55" spans="1:33" x14ac:dyDescent="0.2">
      <c r="A55" s="54" t="s">
        <v>54</v>
      </c>
      <c r="B55" s="72"/>
      <c r="C55" s="26">
        <f>IF((($B$53-C53)=0),IF((C44&lt;=0),"sofort","nie"),IF((C44/($B$53-C53)&lt;=0),IF((C44&lt;=0),"sofort","nie"),C44/($B$53-C53)))</f>
        <v>12.785388127853881</v>
      </c>
      <c r="D55" s="26">
        <f t="shared" ref="D55:AG55" si="16">IF((($B$53-D53)=0),IF((D44&lt;=0),"sofort","nie"),IF((D44/($B$53-D53)&lt;=0),IF((D44&lt;=0),"sofort","nie"),D44/($B$53-D53)))</f>
        <v>11.570247933884298</v>
      </c>
      <c r="E55" s="26">
        <f t="shared" si="16"/>
        <v>12.658227848101266</v>
      </c>
      <c r="F55" s="26">
        <f t="shared" si="16"/>
        <v>13.623188405797102</v>
      </c>
      <c r="G55" s="26">
        <f t="shared" si="16"/>
        <v>20.840336134453782</v>
      </c>
      <c r="H55" s="26">
        <f t="shared" si="16"/>
        <v>13.894927536231885</v>
      </c>
      <c r="I55" s="26">
        <f t="shared" si="16"/>
        <v>4.7058823529411766</v>
      </c>
      <c r="J55" s="26">
        <f t="shared" si="16"/>
        <v>4.7058823529411766</v>
      </c>
      <c r="K55" s="26">
        <f t="shared" si="16"/>
        <v>6.833333333333333</v>
      </c>
      <c r="L55" s="26">
        <f t="shared" si="16"/>
        <v>10.178571428571429</v>
      </c>
      <c r="M55" s="26">
        <f t="shared" si="16"/>
        <v>9.3180515759312321</v>
      </c>
      <c r="N55" s="26">
        <f t="shared" si="16"/>
        <v>12.692307692307692</v>
      </c>
      <c r="O55" s="26">
        <f t="shared" si="16"/>
        <v>13.090909090909092</v>
      </c>
      <c r="P55" s="26" t="str">
        <f t="shared" si="16"/>
        <v>nie</v>
      </c>
      <c r="Q55" s="26">
        <f t="shared" si="16"/>
        <v>12.275449101796408</v>
      </c>
      <c r="R55" s="26">
        <f t="shared" si="16"/>
        <v>13.142857142857142</v>
      </c>
      <c r="S55" s="26">
        <f t="shared" si="16"/>
        <v>11.308411214953271</v>
      </c>
      <c r="T55" s="26">
        <f t="shared" si="16"/>
        <v>12</v>
      </c>
      <c r="U55" s="26">
        <f t="shared" si="16"/>
        <v>10.962099125364432</v>
      </c>
      <c r="V55" s="26">
        <f t="shared" si="16"/>
        <v>11.891891891891891</v>
      </c>
      <c r="W55" s="26">
        <f t="shared" si="16"/>
        <v>15.771812080536913</v>
      </c>
      <c r="X55" s="26">
        <f t="shared" si="16"/>
        <v>15.789473684210526</v>
      </c>
      <c r="Y55" s="26">
        <f t="shared" si="16"/>
        <v>16.577540106951872</v>
      </c>
      <c r="Z55" s="26">
        <f t="shared" si="16"/>
        <v>14.332247557003257</v>
      </c>
      <c r="AA55" s="26">
        <f t="shared" si="16"/>
        <v>10.58968058968059</v>
      </c>
      <c r="AB55" s="26">
        <f t="shared" si="16"/>
        <v>13.553719008264462</v>
      </c>
      <c r="AC55" s="26">
        <f t="shared" si="16"/>
        <v>15</v>
      </c>
      <c r="AD55" s="26">
        <f t="shared" si="16"/>
        <v>10.472906403940886</v>
      </c>
      <c r="AE55" s="26">
        <f t="shared" si="16"/>
        <v>11.368421052631579</v>
      </c>
      <c r="AF55" s="26">
        <f t="shared" si="16"/>
        <v>11.20253164556962</v>
      </c>
      <c r="AG55" s="26">
        <f t="shared" si="16"/>
        <v>11.857142857142858</v>
      </c>
    </row>
    <row r="56" spans="1:33" x14ac:dyDescent="0.2">
      <c r="A56" s="54" t="s">
        <v>55</v>
      </c>
      <c r="B56" s="73">
        <f>ROUND((B45*$I$13+B46*$I$13)/1000,1)</f>
        <v>11.8</v>
      </c>
      <c r="C56" s="73">
        <f>ROUND((C45*$I$7+C46*$I$13)/1000,1)</f>
        <v>6.3</v>
      </c>
      <c r="D56" s="73">
        <f>ROUND((D45*$I$7+(D46-D49)*$I$13)/1000,1)</f>
        <v>5.9</v>
      </c>
      <c r="E56" s="73">
        <f>ROUND((E45*$I$9+(E46-E49)*$I$13)/1000,1)</f>
        <v>1</v>
      </c>
      <c r="F56" s="73">
        <f>ROUND((F45*$I$10+F46*$I$13)/1000,1)</f>
        <v>1.3</v>
      </c>
      <c r="G56" s="73">
        <f>ROUND((G45*$I$7+(G46-G49)*$I$13)/1000,1)</f>
        <v>3.9</v>
      </c>
      <c r="H56" s="73">
        <f>ROUND((H45*$I$8+(H46-H49)*$I$13)/1000,1)</f>
        <v>0.9</v>
      </c>
      <c r="I56" s="73">
        <f>ROUND((I45*$I$11+I46*$I$13)/1000,1)</f>
        <v>4.8</v>
      </c>
      <c r="J56" s="73">
        <f>ROUND((J45*$I$12+J46*$I$13)/1000,1)</f>
        <v>1.7</v>
      </c>
      <c r="K56" s="73">
        <f>ROUND((K45*$I$13+K46*$I$13)/1000,1)</f>
        <v>3.6</v>
      </c>
      <c r="L56" s="73">
        <f>ROUND((L45*$I$13+L46*$I$13)/1000,1)</f>
        <v>6.1</v>
      </c>
      <c r="M56" s="73">
        <f>ROUND((M45*$I$13+M46*$I$13)/1000,1)</f>
        <v>3.8</v>
      </c>
      <c r="N56" s="73">
        <f>ROUND((N45*$I$7+N46*$I$13)/1000,1)</f>
        <v>5.5</v>
      </c>
      <c r="O56" s="73">
        <f>ROUND((O45*$I$7+O46*$I$13)/1000,1)</f>
        <v>5.2</v>
      </c>
      <c r="P56" s="73">
        <f>ROUND((P45*$I$9+(P46-P49)*$I$13)/1000,1)</f>
        <v>8</v>
      </c>
      <c r="Q56" s="73">
        <f>ROUND((Q45*$I$7+(Q46-Q49)*$I$13)/1000,1)</f>
        <v>3.2</v>
      </c>
      <c r="R56" s="73">
        <f>ROUND((R45*$I$7+(R46-R49)*$I$13)/1000,1)</f>
        <v>3.2</v>
      </c>
      <c r="S56" s="73">
        <f>ROUND((S45*$I$10+(S46-S49)*$I$13)/1000,1)</f>
        <v>-0.8</v>
      </c>
      <c r="T56" s="73">
        <f>ROUND((T45*$I$10+(T46-T49)*$I$13)/1000,1)</f>
        <v>-0.8</v>
      </c>
      <c r="U56" s="73">
        <f>ROUND((U45*$I$9+U46*$I$13)/1000,1)</f>
        <v>0.9</v>
      </c>
      <c r="V56" s="73">
        <f>ROUND((V45*$I$10+V46*$I$13)/1000,1)</f>
        <v>1.1000000000000001</v>
      </c>
      <c r="W56" s="73">
        <f>ROUND((W45*$I$7+W46*$I$13)/1000,1)</f>
        <v>4.5</v>
      </c>
      <c r="X56" s="73">
        <f>ROUND((X45*$I$7+(X46-X49)*$I$13)/1000,1)</f>
        <v>1.8</v>
      </c>
      <c r="Y56" s="73">
        <f>ROUND((Y45*$I$7+(Y46-Y49)*$I$13)/1000,1)</f>
        <v>1.8</v>
      </c>
      <c r="Z56" s="73">
        <f>ROUND((Z45*$I$10+(Z46-Z49)*$I$13)/1000,1)</f>
        <v>3.5</v>
      </c>
      <c r="AA56" s="73">
        <f t="shared" ref="AA56:AG56" si="17">ROUND((AA45*$I$13+(AA46-AA49)*$I$13)/1000,1)</f>
        <v>2.6</v>
      </c>
      <c r="AB56" s="73">
        <f t="shared" si="17"/>
        <v>3.5</v>
      </c>
      <c r="AC56" s="73">
        <f t="shared" si="17"/>
        <v>3.5</v>
      </c>
      <c r="AD56" s="73">
        <f t="shared" si="17"/>
        <v>1.1000000000000001</v>
      </c>
      <c r="AE56" s="73">
        <f t="shared" si="17"/>
        <v>1.1000000000000001</v>
      </c>
      <c r="AF56" s="73">
        <f t="shared" si="17"/>
        <v>-0.1</v>
      </c>
      <c r="AG56" s="73">
        <f t="shared" si="17"/>
        <v>-0.1</v>
      </c>
    </row>
    <row r="57" spans="1:33" x14ac:dyDescent="0.2">
      <c r="A57" s="54" t="s">
        <v>3</v>
      </c>
      <c r="B57" s="74">
        <f>IF(($B$16-B47)/$B$16&lt;0,0,($B$16-B47)/$B$16)</f>
        <v>0</v>
      </c>
      <c r="C57" s="74">
        <f t="shared" ref="C57:AG57" si="18">IF(($B$16-C47)/$B$16&lt;0,0,($B$16-C47)/$B$16)</f>
        <v>0</v>
      </c>
      <c r="D57" s="74">
        <f t="shared" si="18"/>
        <v>0</v>
      </c>
      <c r="E57" s="74">
        <f t="shared" si="18"/>
        <v>0</v>
      </c>
      <c r="F57" s="74">
        <f t="shared" si="18"/>
        <v>0</v>
      </c>
      <c r="G57" s="74">
        <f t="shared" si="18"/>
        <v>0</v>
      </c>
      <c r="H57" s="74">
        <f t="shared" si="18"/>
        <v>0</v>
      </c>
      <c r="I57" s="74">
        <f t="shared" si="18"/>
        <v>0</v>
      </c>
      <c r="J57" s="74">
        <f t="shared" si="18"/>
        <v>0</v>
      </c>
      <c r="K57" s="74">
        <f t="shared" si="18"/>
        <v>0.68179575727676367</v>
      </c>
      <c r="L57" s="74">
        <f t="shared" si="18"/>
        <v>0.45929945732609767</v>
      </c>
      <c r="M57" s="74">
        <f t="shared" si="18"/>
        <v>0.66699555994079918</v>
      </c>
      <c r="N57" s="74">
        <f t="shared" si="18"/>
        <v>0</v>
      </c>
      <c r="O57" s="74">
        <f t="shared" si="18"/>
        <v>0</v>
      </c>
      <c r="P57" s="74">
        <f t="shared" si="18"/>
        <v>0.18889985199802664</v>
      </c>
      <c r="Q57" s="74">
        <f t="shared" si="18"/>
        <v>2.4666995559940799E-3</v>
      </c>
      <c r="R57" s="74">
        <f t="shared" si="18"/>
        <v>2.4666995559940799E-3</v>
      </c>
      <c r="S57" s="74">
        <f t="shared" si="18"/>
        <v>0</v>
      </c>
      <c r="T57" s="74">
        <f t="shared" si="18"/>
        <v>0</v>
      </c>
      <c r="U57" s="74">
        <f t="shared" si="18"/>
        <v>0</v>
      </c>
      <c r="V57" s="74">
        <f t="shared" si="18"/>
        <v>0</v>
      </c>
      <c r="W57" s="74">
        <f t="shared" si="18"/>
        <v>0.46817957572767638</v>
      </c>
      <c r="X57" s="74">
        <f t="shared" si="18"/>
        <v>0.57276763690182531</v>
      </c>
      <c r="Y57" s="74">
        <f t="shared" si="18"/>
        <v>0.57276763690182531</v>
      </c>
      <c r="Z57" s="74">
        <f t="shared" si="18"/>
        <v>0.46817957572767638</v>
      </c>
      <c r="AA57" s="74">
        <f t="shared" si="18"/>
        <v>0.7701036013813517</v>
      </c>
      <c r="AB57" s="74">
        <f t="shared" si="18"/>
        <v>0.57868771583621115</v>
      </c>
      <c r="AC57" s="74">
        <f t="shared" si="18"/>
        <v>0.57868771583621115</v>
      </c>
      <c r="AD57" s="74">
        <f t="shared" si="18"/>
        <v>0.7750370004933399</v>
      </c>
      <c r="AE57" s="74">
        <f t="shared" si="18"/>
        <v>0.7750370004933399</v>
      </c>
      <c r="AF57" s="74">
        <f t="shared" si="18"/>
        <v>0.85545140601874692</v>
      </c>
      <c r="AG57" s="74">
        <f t="shared" si="18"/>
        <v>0.85545140601874692</v>
      </c>
    </row>
    <row r="58" spans="1:33" x14ac:dyDescent="0.2">
      <c r="A58" s="54" t="s">
        <v>5</v>
      </c>
      <c r="B58" s="74">
        <f>B50/$B$17</f>
        <v>0</v>
      </c>
      <c r="C58" s="74">
        <f>C50/$B$17</f>
        <v>0</v>
      </c>
      <c r="D58" s="74">
        <f>D50/$B$17</f>
        <v>0</v>
      </c>
      <c r="E58" s="74">
        <f t="shared" ref="E58:J58" si="19">E50/$B$17</f>
        <v>0</v>
      </c>
      <c r="F58" s="74">
        <f t="shared" si="19"/>
        <v>0</v>
      </c>
      <c r="G58" s="74">
        <f t="shared" si="19"/>
        <v>0.51</v>
      </c>
      <c r="H58" s="74">
        <f t="shared" si="19"/>
        <v>0.57999999999999996</v>
      </c>
      <c r="I58" s="74">
        <f t="shared" si="19"/>
        <v>0</v>
      </c>
      <c r="J58" s="74">
        <f t="shared" si="19"/>
        <v>0</v>
      </c>
      <c r="K58" s="74"/>
      <c r="L58" s="74"/>
      <c r="M58" s="74">
        <f t="shared" ref="M58:T58" si="20">M50/$B$17</f>
        <v>0</v>
      </c>
      <c r="N58" s="74">
        <f t="shared" si="20"/>
        <v>0</v>
      </c>
      <c r="O58" s="74">
        <f t="shared" si="20"/>
        <v>0</v>
      </c>
      <c r="P58" s="74">
        <f t="shared" si="20"/>
        <v>0.16250000000000001</v>
      </c>
      <c r="Q58" s="74">
        <f t="shared" si="20"/>
        <v>0.23499999999999999</v>
      </c>
      <c r="R58" s="74">
        <f t="shared" si="20"/>
        <v>0.47</v>
      </c>
      <c r="S58" s="74">
        <f t="shared" si="20"/>
        <v>0.24</v>
      </c>
      <c r="T58" s="74">
        <f t="shared" si="20"/>
        <v>0.48</v>
      </c>
      <c r="U58" s="74">
        <f t="shared" ref="U58:AA58" si="21">U50/$B$17</f>
        <v>0</v>
      </c>
      <c r="V58" s="74">
        <f t="shared" si="21"/>
        <v>0</v>
      </c>
      <c r="W58" s="74">
        <f t="shared" si="21"/>
        <v>0</v>
      </c>
      <c r="X58" s="74">
        <f t="shared" si="21"/>
        <v>0.20250000000000001</v>
      </c>
      <c r="Y58" s="74">
        <f t="shared" si="21"/>
        <v>0.40500000000000003</v>
      </c>
      <c r="Z58" s="74">
        <f t="shared" si="21"/>
        <v>0</v>
      </c>
      <c r="AA58" s="74">
        <f t="shared" si="21"/>
        <v>0</v>
      </c>
      <c r="AB58" s="74">
        <f t="shared" ref="AB58:AG58" si="22">AB50/$B$17</f>
        <v>0.17749999999999999</v>
      </c>
      <c r="AC58" s="74">
        <f t="shared" si="22"/>
        <v>0.35499999999999998</v>
      </c>
      <c r="AD58" s="74">
        <f t="shared" si="22"/>
        <v>0.19500000000000001</v>
      </c>
      <c r="AE58" s="74">
        <f t="shared" si="22"/>
        <v>0.39</v>
      </c>
      <c r="AF58" s="74">
        <f t="shared" si="22"/>
        <v>0.23</v>
      </c>
      <c r="AG58" s="74">
        <f t="shared" si="22"/>
        <v>0.45750000000000002</v>
      </c>
    </row>
    <row r="59" spans="1:33" x14ac:dyDescent="0.2">
      <c r="A59" s="54" t="s">
        <v>29</v>
      </c>
      <c r="B59" s="75" t="s">
        <v>88</v>
      </c>
      <c r="C59" s="76" t="s">
        <v>88</v>
      </c>
      <c r="D59" s="76" t="s">
        <v>88</v>
      </c>
      <c r="E59" s="76" t="s">
        <v>85</v>
      </c>
      <c r="F59" s="76" t="s">
        <v>85</v>
      </c>
      <c r="G59" s="76" t="s">
        <v>88</v>
      </c>
      <c r="H59" s="76" t="s">
        <v>88</v>
      </c>
      <c r="I59" s="76" t="s">
        <v>88</v>
      </c>
      <c r="J59" s="76" t="s">
        <v>88</v>
      </c>
      <c r="K59" s="77" t="s">
        <v>28</v>
      </c>
      <c r="L59" s="76" t="s">
        <v>97</v>
      </c>
      <c r="M59" s="76" t="s">
        <v>28</v>
      </c>
      <c r="N59" s="76" t="s">
        <v>88</v>
      </c>
      <c r="O59" s="76" t="s">
        <v>88</v>
      </c>
      <c r="P59" s="76" t="s">
        <v>133</v>
      </c>
      <c r="Q59" s="76" t="s">
        <v>88</v>
      </c>
      <c r="R59" s="76" t="s">
        <v>88</v>
      </c>
      <c r="S59" s="76" t="s">
        <v>88</v>
      </c>
      <c r="T59" s="76" t="s">
        <v>88</v>
      </c>
      <c r="U59" s="76" t="s">
        <v>85</v>
      </c>
      <c r="V59" s="76" t="s">
        <v>88</v>
      </c>
      <c r="W59" s="76" t="s">
        <v>97</v>
      </c>
      <c r="X59" s="76" t="s">
        <v>46</v>
      </c>
      <c r="Y59" s="76" t="s">
        <v>46</v>
      </c>
      <c r="Z59" s="76" t="s">
        <v>46</v>
      </c>
      <c r="AA59" s="76" t="s">
        <v>30</v>
      </c>
      <c r="AB59" s="76" t="s">
        <v>46</v>
      </c>
      <c r="AC59" s="76" t="s">
        <v>46</v>
      </c>
      <c r="AD59" s="76" t="s">
        <v>30</v>
      </c>
      <c r="AE59" s="76" t="s">
        <v>30</v>
      </c>
      <c r="AF59" s="76" t="s">
        <v>31</v>
      </c>
      <c r="AG59" s="76" t="s">
        <v>31</v>
      </c>
    </row>
    <row r="60" spans="1:33" x14ac:dyDescent="0.2">
      <c r="D60" s="6"/>
      <c r="E60" s="6"/>
      <c r="I60" s="3"/>
    </row>
    <row r="61" spans="1:33" x14ac:dyDescent="0.2">
      <c r="B61" s="78"/>
      <c r="C61" s="79" t="s">
        <v>136</v>
      </c>
      <c r="D61" s="79"/>
      <c r="E61" s="79"/>
      <c r="F61" s="80"/>
      <c r="G61" s="81" t="s">
        <v>137</v>
      </c>
      <c r="H61" s="79"/>
      <c r="I61" s="82"/>
    </row>
    <row r="62" spans="1:33" x14ac:dyDescent="0.2">
      <c r="B62" s="83"/>
      <c r="C62" t="s">
        <v>138</v>
      </c>
      <c r="F62" s="84"/>
      <c r="G62" t="s">
        <v>139</v>
      </c>
      <c r="I62" s="85"/>
    </row>
    <row r="63" spans="1:33" x14ac:dyDescent="0.2">
      <c r="B63" s="86"/>
      <c r="C63" t="s">
        <v>140</v>
      </c>
      <c r="F63" s="87"/>
      <c r="G63" t="s">
        <v>141</v>
      </c>
      <c r="I63" s="85"/>
    </row>
    <row r="64" spans="1:33" x14ac:dyDescent="0.2">
      <c r="B64" s="88"/>
      <c r="C64" s="89" t="s">
        <v>142</v>
      </c>
      <c r="D64" s="89"/>
      <c r="E64" s="89"/>
      <c r="F64" s="89"/>
      <c r="G64" s="89"/>
      <c r="H64" s="89"/>
      <c r="I64" s="90"/>
    </row>
    <row r="66" spans="2:6" x14ac:dyDescent="0.2">
      <c r="B66" s="91"/>
      <c r="C66" s="92" t="s">
        <v>147</v>
      </c>
      <c r="D66" s="79"/>
      <c r="E66" s="79"/>
      <c r="F66" s="82"/>
    </row>
    <row r="67" spans="2:6" x14ac:dyDescent="0.2">
      <c r="B67" s="93" t="s">
        <v>148</v>
      </c>
      <c r="C67" s="94" t="s">
        <v>149</v>
      </c>
      <c r="F67" s="85"/>
    </row>
    <row r="68" spans="2:6" x14ac:dyDescent="0.2">
      <c r="B68" s="95" t="s">
        <v>150</v>
      </c>
      <c r="C68" s="96" t="s">
        <v>151</v>
      </c>
      <c r="D68" s="89"/>
      <c r="E68" s="89"/>
      <c r="F68" s="90"/>
    </row>
  </sheetData>
  <sheetProtection algorithmName="SHA-512" hashValue="bBux565GRnR+elIeMtDJOnBMJbQqSvNKoEsw6O1IfjJ64wiqVSXSqpm0cz0hCU8tn2ECEfnW24S8aGjIHPGYtg==" saltValue="gP04ZLKQNfpMAL/0tyaFwg==" spinCount="100000" sheet="1" objects="1" scenarios="1" selectLockedCells="1" selectUnlockedCells="1"/>
  <phoneticPr fontId="0" type="noConversion"/>
  <conditionalFormatting sqref="B55">
    <cfRule type="expression" dxfId="35" priority="25" stopIfTrue="1">
      <formula>IF(B$44&gt;0,AND(B$55&lt;=10,B$55&gt;0),OR( B$55&gt;30,B$55&lt;0))</formula>
    </cfRule>
    <cfRule type="expression" dxfId="34" priority="28" stopIfTrue="1">
      <formula>B$44&lt;0</formula>
    </cfRule>
  </conditionalFormatting>
  <conditionalFormatting sqref="B44:AG44">
    <cfRule type="cellIs" dxfId="33" priority="6" operator="lessThan">
      <formula>0</formula>
    </cfRule>
    <cfRule type="cellIs" dxfId="32" priority="7" stopIfTrue="1" operator="lessThanOrEqual">
      <formula>5000</formula>
    </cfRule>
  </conditionalFormatting>
  <conditionalFormatting sqref="B53:AG53">
    <cfRule type="cellIs" dxfId="31" priority="15" operator="greaterThan">
      <formula>$B$53</formula>
    </cfRule>
    <cfRule type="cellIs" dxfId="30" priority="32" stopIfTrue="1" operator="lessThanOrEqual">
      <formula>1500</formula>
    </cfRule>
  </conditionalFormatting>
  <conditionalFormatting sqref="B54:AG54">
    <cfRule type="cellIs" dxfId="29" priority="24" stopIfTrue="1" operator="greaterThanOrEqual">
      <formula>5000</formula>
    </cfRule>
  </conditionalFormatting>
  <conditionalFormatting sqref="B56:AG56">
    <cfRule type="cellIs" dxfId="28" priority="9" operator="lessThanOrEqual">
      <formula>2</formula>
    </cfRule>
    <cfRule type="cellIs" dxfId="27" priority="10" operator="greaterThan">
      <formula>$B$56</formula>
    </cfRule>
  </conditionalFormatting>
  <conditionalFormatting sqref="B57:AG57">
    <cfRule type="cellIs" dxfId="26" priority="19" stopIfTrue="1" operator="greaterThanOrEqual">
      <formula>0.5</formula>
    </cfRule>
  </conditionalFormatting>
  <conditionalFormatting sqref="B58:AG58">
    <cfRule type="cellIs" dxfId="25" priority="18" stopIfTrue="1" operator="greaterThanOrEqual">
      <formula>0.5</formula>
    </cfRule>
  </conditionalFormatting>
  <conditionalFormatting sqref="C55:AG55">
    <cfRule type="expression" dxfId="24" priority="2">
      <formula>OR(IF(C$44&gt;0,C$55&lt;=10,C$55&gt;30),C$55="sofort")</formula>
    </cfRule>
    <cfRule type="expression" dxfId="23" priority="3" stopIfTrue="1">
      <formula>C$44&lt;0</formula>
    </cfRule>
  </conditionalFormatting>
  <pageMargins left="0.39370078740157483" right="0.39370078740157483" top="0.98425196850393704" bottom="0.98425196850393704" header="0.51181102362204722" footer="0.51181102362204722"/>
  <pageSetup paperSize="9" scale="47" fitToWidth="2"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74"/>
  <sheetViews>
    <sheetView showGridLines="0" workbookViewId="0">
      <pane xSplit="1" topLeftCell="B1" activePane="topRight" state="frozen"/>
      <selection pane="topRight" activeCell="B6" sqref="B6"/>
    </sheetView>
  </sheetViews>
  <sheetFormatPr baseColWidth="10" defaultRowHeight="12.75" x14ac:dyDescent="0.2"/>
  <cols>
    <col min="1" max="1" width="36.140625" customWidth="1"/>
    <col min="2" max="33" width="17.7109375" customWidth="1"/>
  </cols>
  <sheetData>
    <row r="1" spans="1:35" s="2" customFormat="1" ht="23.25" x14ac:dyDescent="0.35">
      <c r="A1" s="8" t="s">
        <v>143</v>
      </c>
      <c r="B1" s="2" t="s">
        <v>152</v>
      </c>
    </row>
    <row r="2" spans="1:35" s="2" customFormat="1" ht="23.25" x14ac:dyDescent="0.35">
      <c r="A2" s="8"/>
      <c r="B2" s="131" t="s">
        <v>169</v>
      </c>
    </row>
    <row r="3" spans="1:35" s="2" customFormat="1" ht="23.25" x14ac:dyDescent="0.35">
      <c r="A3" s="8"/>
      <c r="B3" s="94" t="s">
        <v>170</v>
      </c>
    </row>
    <row r="4" spans="1:35" s="2" customFormat="1" ht="23.25" x14ac:dyDescent="0.35">
      <c r="A4" s="8"/>
      <c r="B4" s="133" t="s">
        <v>165</v>
      </c>
      <c r="C4" s="1"/>
      <c r="D4" s="139"/>
      <c r="E4" s="139"/>
      <c r="F4" s="139"/>
      <c r="AI4" s="130" t="s">
        <v>63</v>
      </c>
    </row>
    <row r="5" spans="1:35" ht="23.25" x14ac:dyDescent="0.35">
      <c r="A5" s="13"/>
      <c r="B5" s="12"/>
      <c r="C5" s="12"/>
      <c r="D5" s="12"/>
      <c r="E5" s="12"/>
      <c r="F5" s="98" t="s">
        <v>80</v>
      </c>
      <c r="G5" s="99"/>
      <c r="H5" s="12"/>
      <c r="I5" s="12"/>
      <c r="J5" s="12"/>
      <c r="K5" s="12"/>
      <c r="L5" s="14"/>
      <c r="M5" s="2"/>
      <c r="N5" s="2"/>
      <c r="AI5" s="130">
        <f>B6/'Haustechnikvarianten gesamt'!B5</f>
        <v>1</v>
      </c>
    </row>
    <row r="6" spans="1:35" x14ac:dyDescent="0.2">
      <c r="A6" s="9" t="s">
        <v>145</v>
      </c>
      <c r="B6" s="100">
        <v>18620</v>
      </c>
      <c r="C6" s="101" t="s">
        <v>146</v>
      </c>
      <c r="D6" s="102" t="str">
        <f>IF(OR((B6&lt;11170),(B6&gt;26070)),"Wert außerhalb","gültiger Wert")</f>
        <v>gültiger Wert</v>
      </c>
      <c r="E6" s="16"/>
      <c r="F6" s="103">
        <v>18620</v>
      </c>
      <c r="G6" s="104" t="s">
        <v>146</v>
      </c>
      <c r="H6" s="16"/>
      <c r="I6" s="16"/>
      <c r="J6" s="16"/>
      <c r="K6" s="16"/>
      <c r="L6" s="18"/>
      <c r="AI6" s="130">
        <f>B7/'Haustechnikvarianten gesamt'!B6</f>
        <v>1</v>
      </c>
    </row>
    <row r="7" spans="1:35" x14ac:dyDescent="0.2">
      <c r="A7" s="9" t="s">
        <v>57</v>
      </c>
      <c r="B7" s="100">
        <v>1000</v>
      </c>
      <c r="C7" s="102" t="s">
        <v>58</v>
      </c>
      <c r="D7" s="102" t="str">
        <f>IF(OR((B7&lt;600),(B7&gt;1200)),"Wert außerhalb","gültiger Wert")</f>
        <v>gültiger Wert</v>
      </c>
      <c r="E7" s="16"/>
      <c r="F7" s="103">
        <v>1000</v>
      </c>
      <c r="G7" s="104" t="s">
        <v>58</v>
      </c>
      <c r="H7" s="9" t="s">
        <v>73</v>
      </c>
      <c r="I7" s="21"/>
      <c r="J7" s="15"/>
      <c r="K7" s="105" t="s">
        <v>80</v>
      </c>
      <c r="L7" s="104"/>
      <c r="N7" s="5"/>
      <c r="O7" s="4"/>
      <c r="P7" s="5"/>
      <c r="Q7" s="4"/>
      <c r="R7" s="4"/>
      <c r="AI7" s="130"/>
    </row>
    <row r="8" spans="1:35" x14ac:dyDescent="0.2">
      <c r="A8" s="9" t="s">
        <v>59</v>
      </c>
      <c r="B8" s="106">
        <v>12</v>
      </c>
      <c r="C8" s="102" t="s">
        <v>61</v>
      </c>
      <c r="D8" s="102" t="str">
        <f>IF(OR((B8&lt;3),(B8&gt;100)),"Wert prüfen","gültiger Wert")</f>
        <v>gültiger Wert</v>
      </c>
      <c r="E8" s="16"/>
      <c r="F8" s="107">
        <v>12</v>
      </c>
      <c r="G8" s="104" t="s">
        <v>61</v>
      </c>
      <c r="H8" s="20" t="s">
        <v>74</v>
      </c>
      <c r="I8" s="108">
        <v>0.24</v>
      </c>
      <c r="J8" s="15" t="s">
        <v>78</v>
      </c>
      <c r="K8" s="142">
        <v>0.24</v>
      </c>
      <c r="L8" s="104" t="s">
        <v>78</v>
      </c>
      <c r="M8" s="6"/>
      <c r="N8" s="5"/>
      <c r="O8" s="4"/>
      <c r="P8" s="5"/>
      <c r="Q8" s="4"/>
      <c r="R8" s="4"/>
      <c r="AI8" s="130"/>
    </row>
    <row r="9" spans="1:35" x14ac:dyDescent="0.2">
      <c r="A9" s="9" t="s">
        <v>166</v>
      </c>
      <c r="B9" s="106">
        <v>12</v>
      </c>
      <c r="C9" s="102" t="s">
        <v>61</v>
      </c>
      <c r="D9" s="102" t="str">
        <f>IF(OR((B9&lt;3),(B9&gt;100)),"Wert prüfen","gültiger Wert")</f>
        <v>gültiger Wert</v>
      </c>
      <c r="E9" s="16"/>
      <c r="F9" s="107">
        <v>12</v>
      </c>
      <c r="G9" s="104" t="s">
        <v>61</v>
      </c>
      <c r="H9" s="20" t="s">
        <v>167</v>
      </c>
      <c r="I9" s="108">
        <v>0.152</v>
      </c>
      <c r="J9" s="15" t="s">
        <v>78</v>
      </c>
      <c r="K9" s="142">
        <v>0.152</v>
      </c>
      <c r="L9" s="104" t="s">
        <v>78</v>
      </c>
      <c r="M9" s="6"/>
      <c r="N9" s="5"/>
      <c r="O9" s="4"/>
      <c r="P9" s="5"/>
      <c r="Q9" s="4"/>
      <c r="R9" s="4"/>
      <c r="AI9" s="130"/>
    </row>
    <row r="10" spans="1:35" x14ac:dyDescent="0.2">
      <c r="A10" s="9" t="s">
        <v>65</v>
      </c>
      <c r="B10" s="100">
        <v>100</v>
      </c>
      <c r="C10" s="102" t="s">
        <v>67</v>
      </c>
      <c r="D10" s="20" t="str">
        <f>IF(OR((B10&lt;10),(B10&gt;1000)),"Wert prüfen","gültiger Wert")</f>
        <v>gültiger Wert</v>
      </c>
      <c r="E10" s="110">
        <f>B10/'[1]Haustechnikvarianten gesamt'!D8*100</f>
        <v>5.2631578947368416</v>
      </c>
      <c r="F10" s="109">
        <v>100</v>
      </c>
      <c r="G10" s="111" t="s">
        <v>67</v>
      </c>
      <c r="H10" s="20" t="s">
        <v>75</v>
      </c>
      <c r="I10" s="108">
        <v>0.02</v>
      </c>
      <c r="J10" s="15" t="s">
        <v>78</v>
      </c>
      <c r="K10" s="142">
        <v>0.02</v>
      </c>
      <c r="L10" s="104" t="s">
        <v>78</v>
      </c>
      <c r="M10" s="6"/>
      <c r="N10" s="4"/>
      <c r="O10" s="5"/>
      <c r="P10" s="4"/>
      <c r="Q10" s="5"/>
      <c r="R10" s="4"/>
      <c r="S10" s="4"/>
      <c r="AI10" s="130"/>
    </row>
    <row r="11" spans="1:35" x14ac:dyDescent="0.2">
      <c r="A11" s="9" t="s">
        <v>66</v>
      </c>
      <c r="B11" s="100">
        <v>300</v>
      </c>
      <c r="C11" s="102" t="s">
        <v>68</v>
      </c>
      <c r="D11" s="20" t="str">
        <f>IF(OR((B11&lt;150),(B11&gt;1000)),"Wert prüfen","gültiger Wert")</f>
        <v>gültiger Wert</v>
      </c>
      <c r="E11" s="110">
        <f>B11/'[1]Haustechnikvarianten gesamt'!D9*100</f>
        <v>6.1224489795918364</v>
      </c>
      <c r="F11" s="109">
        <v>300</v>
      </c>
      <c r="G11" s="111" t="s">
        <v>68</v>
      </c>
      <c r="H11" s="20" t="s">
        <v>76</v>
      </c>
      <c r="I11" s="108">
        <v>4.1000000000000002E-2</v>
      </c>
      <c r="J11" s="15" t="s">
        <v>78</v>
      </c>
      <c r="K11" s="142">
        <v>4.1000000000000002E-2</v>
      </c>
      <c r="L11" s="104" t="s">
        <v>78</v>
      </c>
      <c r="M11" s="6"/>
      <c r="N11" s="4"/>
      <c r="O11" s="5"/>
      <c r="P11" s="4"/>
      <c r="Q11" s="5"/>
      <c r="R11" s="4"/>
      <c r="S11" s="4"/>
      <c r="AI11" s="130"/>
    </row>
    <row r="12" spans="1:35" x14ac:dyDescent="0.2">
      <c r="A12" s="9" t="s">
        <v>72</v>
      </c>
      <c r="B12" s="112">
        <v>9.5</v>
      </c>
      <c r="C12" s="102" t="s">
        <v>61</v>
      </c>
      <c r="D12" s="102" t="str">
        <f>IF(OR((B12&lt;5),(B12&gt;100)),"Wert prüfen","gültiger Wert")</f>
        <v>gültiger Wert</v>
      </c>
      <c r="E12" s="16"/>
      <c r="F12" s="109">
        <v>12</v>
      </c>
      <c r="G12" s="104" t="s">
        <v>61</v>
      </c>
      <c r="H12" s="20" t="s">
        <v>77</v>
      </c>
      <c r="I12" s="108">
        <v>0.18</v>
      </c>
      <c r="J12" s="15" t="s">
        <v>78</v>
      </c>
      <c r="K12" s="142">
        <v>0.18</v>
      </c>
      <c r="L12" s="104" t="s">
        <v>78</v>
      </c>
      <c r="M12" s="6"/>
      <c r="N12" s="4"/>
      <c r="O12" s="5"/>
      <c r="P12" s="4"/>
      <c r="Q12" s="5"/>
      <c r="R12" s="4"/>
      <c r="S12" s="4"/>
      <c r="AI12" s="130"/>
    </row>
    <row r="13" spans="1:35" x14ac:dyDescent="0.2">
      <c r="A13" s="9" t="s">
        <v>60</v>
      </c>
      <c r="B13" s="106">
        <v>40</v>
      </c>
      <c r="C13" s="102" t="s">
        <v>61</v>
      </c>
      <c r="D13" s="102" t="str">
        <f>IF(OR((B13&lt;20),(B13&gt;200)),"Wert prüfen","gültiger Wert")</f>
        <v>gültiger Wert</v>
      </c>
      <c r="E13" s="16"/>
      <c r="F13" s="107">
        <v>32</v>
      </c>
      <c r="G13" s="104" t="s">
        <v>61</v>
      </c>
      <c r="H13" s="20" t="s">
        <v>79</v>
      </c>
      <c r="I13" s="108">
        <v>0.06</v>
      </c>
      <c r="J13" s="15" t="s">
        <v>78</v>
      </c>
      <c r="K13" s="142">
        <v>0.06</v>
      </c>
      <c r="L13" s="104" t="s">
        <v>78</v>
      </c>
      <c r="M13" s="6"/>
      <c r="N13" s="5"/>
      <c r="O13" s="4"/>
      <c r="P13" s="5"/>
      <c r="Q13" s="4"/>
      <c r="R13" s="4"/>
      <c r="AI13" s="130"/>
    </row>
    <row r="14" spans="1:35" x14ac:dyDescent="0.2">
      <c r="A14" s="9" t="s">
        <v>62</v>
      </c>
      <c r="B14" s="106">
        <v>30</v>
      </c>
      <c r="C14" s="102" t="s">
        <v>61</v>
      </c>
      <c r="D14" s="102" t="str">
        <f>IF(OR((B14&lt;5),(B14&gt;200)),"Wert prüfenh","gültiger Wert")</f>
        <v>gültiger Wert</v>
      </c>
      <c r="E14" s="16"/>
      <c r="F14" s="107">
        <v>30</v>
      </c>
      <c r="G14" s="104" t="s">
        <v>61</v>
      </c>
      <c r="H14" s="20" t="s">
        <v>64</v>
      </c>
      <c r="I14" s="108">
        <v>0.56000000000000005</v>
      </c>
      <c r="J14" s="15" t="s">
        <v>78</v>
      </c>
      <c r="K14" s="142">
        <v>0.56000000000000005</v>
      </c>
      <c r="L14" s="104" t="s">
        <v>78</v>
      </c>
      <c r="M14" s="6"/>
      <c r="N14" s="5"/>
      <c r="O14" s="4"/>
      <c r="P14" s="5"/>
      <c r="Q14" s="4"/>
      <c r="R14" s="4"/>
      <c r="AI14" s="130"/>
    </row>
    <row r="15" spans="1:35" x14ac:dyDescent="0.2">
      <c r="A15" s="9" t="s">
        <v>135</v>
      </c>
      <c r="B15" s="7">
        <v>25</v>
      </c>
      <c r="C15" s="102" t="s">
        <v>61</v>
      </c>
      <c r="D15" s="16" t="str">
        <f>IF(OR((B15&lt;10),(B15&gt;200)),"Wert unwahrscheinlich, aber möglich","gültiger Wert")</f>
        <v>gültiger Wert</v>
      </c>
      <c r="E15" s="16"/>
      <c r="F15" s="107">
        <v>25</v>
      </c>
      <c r="G15" s="104" t="s">
        <v>61</v>
      </c>
      <c r="H15" s="16"/>
      <c r="I15" s="16"/>
      <c r="J15" s="16"/>
      <c r="K15" s="16"/>
      <c r="L15" s="18"/>
      <c r="M15" s="6"/>
      <c r="N15" s="5"/>
      <c r="O15" s="4"/>
      <c r="P15" s="5"/>
      <c r="Q15" s="4"/>
      <c r="R15" s="4"/>
      <c r="AI15" s="130"/>
    </row>
    <row r="16" spans="1:35" x14ac:dyDescent="0.2">
      <c r="A16" s="9" t="s">
        <v>154</v>
      </c>
      <c r="B16" s="106">
        <v>8.1999999999999993</v>
      </c>
      <c r="C16" s="102" t="s">
        <v>61</v>
      </c>
      <c r="D16" s="102" t="str">
        <f>IF(OR((B16&lt;5),(B16&gt;50)),"Wert prüfen","gültiger Wert")</f>
        <v>gültiger Wert</v>
      </c>
      <c r="E16" s="16"/>
      <c r="F16" s="107">
        <v>8.1999999999999993</v>
      </c>
      <c r="G16" s="104" t="s">
        <v>61</v>
      </c>
      <c r="H16" s="16"/>
      <c r="I16" s="16"/>
      <c r="J16" s="16"/>
      <c r="K16" s="140"/>
      <c r="L16" s="141"/>
      <c r="M16" s="6"/>
      <c r="N16" s="5"/>
      <c r="O16" s="4"/>
      <c r="P16" s="5"/>
      <c r="Q16" s="4"/>
      <c r="R16" s="4"/>
      <c r="AI16" s="130"/>
    </row>
    <row r="17" spans="1:65" x14ac:dyDescent="0.2">
      <c r="A17" s="9" t="s">
        <v>9</v>
      </c>
      <c r="B17" s="113">
        <f>'Haustechnikvarianten gesamt'!B16*'Haustechnikvarianten berechnen'!AI6</f>
        <v>20270</v>
      </c>
      <c r="C17" s="102" t="s">
        <v>27</v>
      </c>
      <c r="D17" s="102"/>
      <c r="E17" s="16"/>
      <c r="F17" s="103">
        <v>20270</v>
      </c>
      <c r="G17" s="104" t="s">
        <v>27</v>
      </c>
      <c r="H17" s="16"/>
      <c r="I17" s="16"/>
      <c r="J17" s="16"/>
      <c r="K17" s="16"/>
      <c r="L17" s="18"/>
      <c r="M17" s="5"/>
      <c r="N17" s="4"/>
      <c r="O17" s="5"/>
      <c r="P17" s="4"/>
      <c r="Q17" s="5"/>
      <c r="R17" s="4"/>
      <c r="S17" s="4"/>
      <c r="AI17" s="130">
        <f>AI5</f>
        <v>1</v>
      </c>
    </row>
    <row r="18" spans="1:65" x14ac:dyDescent="0.2">
      <c r="A18" s="9" t="s">
        <v>26</v>
      </c>
      <c r="B18" s="100">
        <v>4000</v>
      </c>
      <c r="C18" s="102" t="s">
        <v>27</v>
      </c>
      <c r="D18" s="102" t="str">
        <f>IF(OR((B18&lt;1000),(B18&gt;10000)),"Wert prüfen","gültiger Wert")</f>
        <v>gültiger Wert</v>
      </c>
      <c r="E18" s="23"/>
      <c r="F18" s="103">
        <v>4000</v>
      </c>
      <c r="G18" s="104" t="s">
        <v>27</v>
      </c>
      <c r="H18" s="23"/>
      <c r="I18" s="23"/>
      <c r="J18" s="23"/>
      <c r="K18" s="23"/>
      <c r="L18" s="25"/>
      <c r="M18" s="5"/>
      <c r="N18" s="4"/>
      <c r="O18" s="5"/>
      <c r="P18" s="4"/>
      <c r="Q18" s="5"/>
      <c r="R18" s="4"/>
      <c r="S18" s="4"/>
      <c r="AI18" s="130"/>
    </row>
    <row r="19" spans="1:65" x14ac:dyDescent="0.2">
      <c r="A19" s="9" t="s">
        <v>171</v>
      </c>
      <c r="B19" s="144" t="s">
        <v>180</v>
      </c>
      <c r="C19" s="101" t="s">
        <v>173</v>
      </c>
      <c r="D19" s="102" t="str">
        <f>IF(OR(B19="n",B19="j"),"gültiger Wert","Fehleingabe")</f>
        <v>gültiger Wert</v>
      </c>
      <c r="E19" s="23"/>
      <c r="F19" s="145" t="s">
        <v>172</v>
      </c>
      <c r="G19" s="104"/>
      <c r="H19" s="23"/>
      <c r="I19" s="23"/>
      <c r="J19" s="23"/>
      <c r="K19" s="23"/>
      <c r="L19" s="25"/>
      <c r="M19" s="4"/>
      <c r="N19" s="5"/>
      <c r="O19" s="4"/>
      <c r="P19" s="5"/>
      <c r="Q19" s="4"/>
      <c r="R19" s="4"/>
      <c r="AI19" s="130" t="e">
        <f>B19/'[2]Haustechnikvarianten gesamt'!B17</f>
        <v>#VALUE!</v>
      </c>
      <c r="AJ19" s="130"/>
    </row>
    <row r="20" spans="1:65" x14ac:dyDescent="0.2">
      <c r="M20" s="5"/>
      <c r="N20" s="4"/>
      <c r="O20" s="5"/>
      <c r="P20" s="4"/>
      <c r="Q20" s="5"/>
      <c r="R20" s="4"/>
      <c r="S20" s="4"/>
      <c r="AI20" s="130">
        <f>B18/'Haustechnikvarianten gesamt'!B17</f>
        <v>1</v>
      </c>
    </row>
    <row r="21" spans="1:65" x14ac:dyDescent="0.2">
      <c r="B21" s="3"/>
      <c r="C21" s="3"/>
      <c r="D21" s="6"/>
      <c r="E21" s="6"/>
      <c r="F21" s="3"/>
      <c r="G21" s="3"/>
      <c r="H21" s="3"/>
      <c r="I21" s="3"/>
      <c r="J21" s="3"/>
      <c r="K21" s="6"/>
      <c r="L21" s="6"/>
      <c r="M21" s="5"/>
      <c r="N21" s="4"/>
      <c r="O21" s="5"/>
      <c r="P21" s="4"/>
      <c r="Q21" s="5"/>
      <c r="R21" s="4"/>
      <c r="S21" s="4"/>
      <c r="AE21" s="1"/>
      <c r="AF21" s="1"/>
      <c r="AI21" s="1"/>
    </row>
    <row r="22" spans="1:65" s="1" customFormat="1" x14ac:dyDescent="0.2">
      <c r="A22" s="34" t="s">
        <v>0</v>
      </c>
      <c r="B22" s="35" t="s">
        <v>84</v>
      </c>
      <c r="C22" s="36" t="s">
        <v>86</v>
      </c>
      <c r="D22" s="36" t="s">
        <v>91</v>
      </c>
      <c r="E22" s="36" t="s">
        <v>32</v>
      </c>
      <c r="F22" s="36" t="s">
        <v>82</v>
      </c>
      <c r="G22" s="37" t="s">
        <v>83</v>
      </c>
      <c r="H22" s="37" t="s">
        <v>49</v>
      </c>
      <c r="I22" s="36" t="s">
        <v>33</v>
      </c>
      <c r="J22" s="36" t="s">
        <v>34</v>
      </c>
      <c r="K22" s="38" t="s">
        <v>35</v>
      </c>
      <c r="L22" s="36" t="s">
        <v>36</v>
      </c>
      <c r="M22" s="36" t="s">
        <v>98</v>
      </c>
      <c r="N22" s="39" t="s">
        <v>99</v>
      </c>
      <c r="O22" s="39" t="s">
        <v>102</v>
      </c>
      <c r="P22" s="36" t="s">
        <v>37</v>
      </c>
      <c r="Q22" s="36" t="s">
        <v>38</v>
      </c>
      <c r="R22" s="36" t="s">
        <v>47</v>
      </c>
      <c r="S22" s="40" t="s">
        <v>128</v>
      </c>
      <c r="T22" s="40" t="s">
        <v>129</v>
      </c>
      <c r="U22" s="36" t="s">
        <v>108</v>
      </c>
      <c r="V22" s="36" t="s">
        <v>109</v>
      </c>
      <c r="W22" s="41" t="s">
        <v>105</v>
      </c>
      <c r="X22" s="41" t="s">
        <v>107</v>
      </c>
      <c r="Y22" s="41" t="s">
        <v>113</v>
      </c>
      <c r="Z22" s="137" t="s">
        <v>158</v>
      </c>
      <c r="AA22" s="36" t="s">
        <v>39</v>
      </c>
      <c r="AB22" s="36" t="s">
        <v>40</v>
      </c>
      <c r="AC22" s="36" t="s">
        <v>41</v>
      </c>
      <c r="AD22" s="36" t="s">
        <v>42</v>
      </c>
      <c r="AE22" s="36" t="s">
        <v>43</v>
      </c>
      <c r="AF22" s="36" t="s">
        <v>44</v>
      </c>
      <c r="AG22" s="36" t="s">
        <v>45</v>
      </c>
    </row>
    <row r="23" spans="1:65" s="1" customFormat="1" x14ac:dyDescent="0.2">
      <c r="A23" s="29"/>
      <c r="B23" s="30" t="s">
        <v>130</v>
      </c>
      <c r="C23" s="30" t="s">
        <v>87</v>
      </c>
      <c r="D23" s="30" t="s">
        <v>87</v>
      </c>
      <c r="E23" s="30" t="s">
        <v>4</v>
      </c>
      <c r="F23" s="30" t="s">
        <v>81</v>
      </c>
      <c r="G23" s="30" t="s">
        <v>50</v>
      </c>
      <c r="H23" s="30" t="s">
        <v>50</v>
      </c>
      <c r="I23" s="30" t="s">
        <v>77</v>
      </c>
      <c r="J23" s="30" t="s">
        <v>77</v>
      </c>
      <c r="K23" s="29" t="s">
        <v>7</v>
      </c>
      <c r="L23" s="30" t="s">
        <v>7</v>
      </c>
      <c r="M23" s="30" t="s">
        <v>8</v>
      </c>
      <c r="N23" s="30" t="s">
        <v>100</v>
      </c>
      <c r="O23" s="30" t="s">
        <v>52</v>
      </c>
      <c r="P23" s="30" t="s">
        <v>12</v>
      </c>
      <c r="Q23" s="30" t="s">
        <v>12</v>
      </c>
      <c r="R23" s="30" t="s">
        <v>12</v>
      </c>
      <c r="S23" s="29" t="s">
        <v>12</v>
      </c>
      <c r="T23" s="29" t="s">
        <v>12</v>
      </c>
      <c r="U23" s="30" t="s">
        <v>14</v>
      </c>
      <c r="V23" s="30" t="s">
        <v>110</v>
      </c>
      <c r="W23" s="30" t="s">
        <v>106</v>
      </c>
      <c r="X23" s="30" t="s">
        <v>106</v>
      </c>
      <c r="Y23" s="30" t="s">
        <v>106</v>
      </c>
      <c r="Z23" s="115" t="s">
        <v>159</v>
      </c>
      <c r="AA23" s="30" t="s">
        <v>8</v>
      </c>
      <c r="AB23" s="30" t="s">
        <v>7</v>
      </c>
      <c r="AC23" s="30" t="s">
        <v>7</v>
      </c>
      <c r="AD23" s="30" t="s">
        <v>8</v>
      </c>
      <c r="AE23" s="30" t="s">
        <v>8</v>
      </c>
      <c r="AF23" s="30" t="s">
        <v>8</v>
      </c>
      <c r="AG23" s="30" t="s">
        <v>8</v>
      </c>
    </row>
    <row r="24" spans="1:65" s="1" customFormat="1" x14ac:dyDescent="0.2">
      <c r="A24" s="29"/>
      <c r="B24" s="30"/>
      <c r="C24" s="30" t="s">
        <v>48</v>
      </c>
      <c r="D24" s="30" t="s">
        <v>48</v>
      </c>
      <c r="E24" s="30"/>
      <c r="F24" s="30"/>
      <c r="G24" s="30" t="s">
        <v>114</v>
      </c>
      <c r="H24" s="30" t="s">
        <v>51</v>
      </c>
      <c r="I24" s="30" t="s">
        <v>10</v>
      </c>
      <c r="J24" s="30" t="s">
        <v>11</v>
      </c>
      <c r="K24" s="29" t="s">
        <v>125</v>
      </c>
      <c r="L24" s="30" t="s">
        <v>96</v>
      </c>
      <c r="M24" s="30" t="s">
        <v>96</v>
      </c>
      <c r="N24" s="30" t="s">
        <v>101</v>
      </c>
      <c r="O24" s="30" t="s">
        <v>131</v>
      </c>
      <c r="P24" s="30" t="s">
        <v>103</v>
      </c>
      <c r="Q24" s="30" t="s">
        <v>103</v>
      </c>
      <c r="R24" s="30" t="s">
        <v>103</v>
      </c>
      <c r="S24" s="29" t="s">
        <v>103</v>
      </c>
      <c r="T24" s="29" t="s">
        <v>103</v>
      </c>
      <c r="U24" s="30" t="s">
        <v>104</v>
      </c>
      <c r="V24" s="30" t="s">
        <v>104</v>
      </c>
      <c r="W24" s="30" t="s">
        <v>16</v>
      </c>
      <c r="X24" s="30" t="s">
        <v>16</v>
      </c>
      <c r="Y24" s="30" t="s">
        <v>16</v>
      </c>
      <c r="Z24" s="115" t="s">
        <v>16</v>
      </c>
      <c r="AA24" s="30" t="s">
        <v>17</v>
      </c>
      <c r="AB24" s="30" t="s">
        <v>18</v>
      </c>
      <c r="AC24" s="30" t="s">
        <v>18</v>
      </c>
      <c r="AD24" s="30" t="s">
        <v>18</v>
      </c>
      <c r="AE24" s="30" t="s">
        <v>18</v>
      </c>
      <c r="AF24" s="30" t="s">
        <v>17</v>
      </c>
      <c r="AG24" s="30" t="s">
        <v>17</v>
      </c>
    </row>
    <row r="25" spans="1:65" s="1" customFormat="1" x14ac:dyDescent="0.2">
      <c r="A25" s="29"/>
      <c r="B25" s="30"/>
      <c r="C25" s="30" t="s">
        <v>89</v>
      </c>
      <c r="D25" s="30" t="s">
        <v>92</v>
      </c>
      <c r="E25" s="30"/>
      <c r="F25" s="30"/>
      <c r="G25" s="30"/>
      <c r="H25" s="30"/>
      <c r="I25" s="30"/>
      <c r="J25" s="30"/>
      <c r="K25" s="29" t="s">
        <v>126</v>
      </c>
      <c r="L25" s="30"/>
      <c r="M25" s="30"/>
      <c r="N25" s="30" t="s">
        <v>124</v>
      </c>
      <c r="O25" s="30" t="s">
        <v>124</v>
      </c>
      <c r="P25" s="30" t="s">
        <v>132</v>
      </c>
      <c r="Q25" s="30" t="s">
        <v>124</v>
      </c>
      <c r="R25" s="30" t="s">
        <v>124</v>
      </c>
      <c r="S25" s="29" t="s">
        <v>127</v>
      </c>
      <c r="T25" s="29" t="s">
        <v>127</v>
      </c>
      <c r="U25" s="30" t="s">
        <v>53</v>
      </c>
      <c r="V25" s="30" t="s">
        <v>53</v>
      </c>
      <c r="W25" s="30"/>
      <c r="X25" s="30" t="s">
        <v>18</v>
      </c>
      <c r="Y25" s="30" t="s">
        <v>18</v>
      </c>
      <c r="Z25" s="30"/>
      <c r="AA25" s="30"/>
      <c r="AB25" s="30"/>
      <c r="AC25" s="30" t="s">
        <v>111</v>
      </c>
      <c r="AD25" s="30"/>
      <c r="AE25" s="30" t="s">
        <v>111</v>
      </c>
      <c r="AF25" s="30" t="s">
        <v>18</v>
      </c>
      <c r="AG25" s="30" t="s">
        <v>18</v>
      </c>
    </row>
    <row r="26" spans="1:65" s="1" customFormat="1" x14ac:dyDescent="0.2">
      <c r="A26" s="29"/>
      <c r="B26" s="30"/>
      <c r="C26" s="30" t="s">
        <v>90</v>
      </c>
      <c r="D26" s="30" t="s">
        <v>90</v>
      </c>
      <c r="E26" s="30"/>
      <c r="F26" s="30"/>
      <c r="G26" s="30"/>
      <c r="H26" s="30"/>
      <c r="I26" s="30"/>
      <c r="J26" s="30"/>
      <c r="K26" s="29"/>
      <c r="L26" s="30"/>
      <c r="M26" s="30"/>
      <c r="N26" s="30"/>
      <c r="O26" s="30"/>
      <c r="P26" s="30"/>
      <c r="Q26" s="30"/>
      <c r="R26" s="30" t="s">
        <v>111</v>
      </c>
      <c r="S26" s="29"/>
      <c r="T26" s="29" t="s">
        <v>111</v>
      </c>
      <c r="U26" s="30"/>
      <c r="V26" s="30"/>
      <c r="W26" s="30"/>
      <c r="X26" s="30"/>
      <c r="Y26" s="30" t="s">
        <v>111</v>
      </c>
      <c r="Z26" s="30"/>
      <c r="AA26" s="30"/>
      <c r="AB26" s="30"/>
      <c r="AC26" s="30" t="s">
        <v>112</v>
      </c>
      <c r="AD26" s="30"/>
      <c r="AE26" s="30" t="s">
        <v>134</v>
      </c>
      <c r="AF26" s="30"/>
      <c r="AG26" s="30" t="s">
        <v>13</v>
      </c>
    </row>
    <row r="27" spans="1:65" s="1" customFormat="1" x14ac:dyDescent="0.2">
      <c r="A27" s="42"/>
      <c r="B27" s="42"/>
      <c r="C27" s="42"/>
      <c r="D27" s="42"/>
      <c r="E27" s="42"/>
      <c r="F27" s="42"/>
      <c r="G27" s="42"/>
      <c r="H27" s="42"/>
      <c r="I27" s="42"/>
      <c r="J27" s="42"/>
      <c r="K27" s="42"/>
      <c r="L27" s="43"/>
      <c r="M27" s="43"/>
      <c r="N27" s="43"/>
      <c r="O27" s="43"/>
      <c r="P27" s="43"/>
      <c r="Q27" s="43"/>
      <c r="R27" s="43" t="s">
        <v>112</v>
      </c>
      <c r="S27" s="42"/>
      <c r="T27" s="42" t="s">
        <v>112</v>
      </c>
      <c r="U27" s="43"/>
      <c r="V27" s="43"/>
      <c r="W27" s="43"/>
      <c r="X27" s="43"/>
      <c r="Y27" s="43" t="s">
        <v>112</v>
      </c>
      <c r="Z27" s="43"/>
      <c r="AA27" s="43"/>
      <c r="AB27" s="43"/>
      <c r="AC27" s="43"/>
      <c r="AD27" s="43"/>
      <c r="AE27" s="43"/>
      <c r="AF27" s="43"/>
      <c r="AG27" s="43"/>
    </row>
    <row r="28" spans="1:65" s="1" customFormat="1" x14ac:dyDescent="0.2">
      <c r="A28" s="29"/>
      <c r="B28" s="29"/>
      <c r="C28" s="29"/>
      <c r="D28" s="29"/>
      <c r="E28" s="29"/>
      <c r="F28" s="29"/>
      <c r="G28" s="29"/>
      <c r="H28" s="29"/>
      <c r="I28" s="29"/>
      <c r="J28" s="29"/>
      <c r="K28" s="29"/>
      <c r="L28" s="29"/>
      <c r="M28" s="29"/>
      <c r="N28" s="29"/>
      <c r="O28" s="29"/>
      <c r="P28" s="29"/>
      <c r="Q28" s="29"/>
      <c r="R28" s="29"/>
      <c r="S28" s="29"/>
      <c r="T28" s="29"/>
      <c r="U28" s="29"/>
      <c r="V28" s="115"/>
      <c r="W28" s="115"/>
      <c r="X28" s="115"/>
      <c r="Y28" s="115"/>
      <c r="Z28" s="115"/>
      <c r="AA28" s="29"/>
      <c r="AB28" s="29"/>
      <c r="AC28" s="29"/>
      <c r="AD28" s="29"/>
      <c r="AE28" s="29"/>
      <c r="AF28" s="29"/>
      <c r="AG28" s="29"/>
    </row>
    <row r="29" spans="1:65" s="1" customFormat="1" x14ac:dyDescent="0.2">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J29" s="3"/>
    </row>
    <row r="30" spans="1:65" s="1" customFormat="1" x14ac:dyDescent="0.2">
      <c r="A30" s="117" t="s">
        <v>19</v>
      </c>
      <c r="B30" s="118"/>
      <c r="C30" s="119">
        <v>12000</v>
      </c>
      <c r="D30" s="119">
        <v>12000</v>
      </c>
      <c r="E30" s="119">
        <v>21000</v>
      </c>
      <c r="F30" s="119">
        <v>28000</v>
      </c>
      <c r="G30" s="119">
        <v>35000</v>
      </c>
      <c r="H30" s="119">
        <v>42000</v>
      </c>
      <c r="I30" s="119">
        <v>12000</v>
      </c>
      <c r="J30" s="119">
        <v>12000</v>
      </c>
      <c r="K30" s="119">
        <v>25000</v>
      </c>
      <c r="L30" s="119">
        <v>25000</v>
      </c>
      <c r="M30" s="119">
        <v>41200</v>
      </c>
      <c r="N30" s="119">
        <v>12000</v>
      </c>
      <c r="O30" s="119">
        <v>12000</v>
      </c>
      <c r="P30" s="119">
        <v>4000</v>
      </c>
      <c r="Q30" s="119">
        <v>12000</v>
      </c>
      <c r="R30" s="119">
        <v>12000</v>
      </c>
      <c r="S30" s="119">
        <v>28000</v>
      </c>
      <c r="T30" s="119">
        <v>28000</v>
      </c>
      <c r="U30" s="119">
        <v>21000</v>
      </c>
      <c r="V30" s="119">
        <v>28000</v>
      </c>
      <c r="W30" s="119">
        <v>30000</v>
      </c>
      <c r="X30" s="119">
        <v>30000</v>
      </c>
      <c r="Y30" s="119">
        <v>30000</v>
      </c>
      <c r="Z30" s="119">
        <v>40000</v>
      </c>
      <c r="AA30" s="119">
        <v>42300</v>
      </c>
      <c r="AB30" s="119">
        <v>25000</v>
      </c>
      <c r="AC30" s="119">
        <v>25000</v>
      </c>
      <c r="AD30" s="119">
        <v>41200</v>
      </c>
      <c r="AE30" s="119">
        <v>41200</v>
      </c>
      <c r="AF30" s="119">
        <v>42300</v>
      </c>
      <c r="AG30" s="119">
        <v>42300</v>
      </c>
      <c r="AH30" s="3"/>
      <c r="AI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row>
    <row r="31" spans="1:65" s="1" customFormat="1" x14ac:dyDescent="0.2">
      <c r="A31" s="62" t="s">
        <v>95</v>
      </c>
      <c r="B31" s="28"/>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65" s="1" customFormat="1" x14ac:dyDescent="0.2">
      <c r="A32" s="62" t="s">
        <v>93</v>
      </c>
      <c r="B32" s="28"/>
      <c r="C32" s="28"/>
      <c r="D32" s="28"/>
      <c r="E32" s="120">
        <v>1000</v>
      </c>
      <c r="F32" s="120">
        <v>2000</v>
      </c>
      <c r="G32" s="28"/>
      <c r="H32" s="28"/>
      <c r="I32" s="28"/>
      <c r="J32" s="28"/>
      <c r="K32" s="28"/>
      <c r="L32" s="28"/>
      <c r="M32" s="28"/>
      <c r="N32" s="28"/>
      <c r="O32" s="28"/>
      <c r="P32" s="28"/>
      <c r="Q32" s="28"/>
      <c r="R32" s="28"/>
      <c r="S32" s="120">
        <v>2000</v>
      </c>
      <c r="T32" s="120">
        <v>2000</v>
      </c>
      <c r="U32" s="120">
        <v>1000</v>
      </c>
      <c r="V32" s="120">
        <v>2000</v>
      </c>
      <c r="W32" s="28"/>
      <c r="X32" s="28"/>
      <c r="Y32" s="28"/>
      <c r="Z32" s="28"/>
      <c r="AA32" s="121"/>
      <c r="AB32" s="121"/>
      <c r="AC32" s="28"/>
      <c r="AD32" s="121"/>
      <c r="AE32" s="28"/>
      <c r="AF32" s="28"/>
      <c r="AG32" s="62"/>
    </row>
    <row r="33" spans="1:36" s="1" customFormat="1" x14ac:dyDescent="0.2">
      <c r="A33" s="62" t="s">
        <v>94</v>
      </c>
      <c r="B33" s="28"/>
      <c r="C33" s="120">
        <v>4000</v>
      </c>
      <c r="D33" s="120">
        <v>4000</v>
      </c>
      <c r="E33" s="120">
        <v>6000</v>
      </c>
      <c r="F33" s="120">
        <v>5000</v>
      </c>
      <c r="G33" s="120">
        <v>5000</v>
      </c>
      <c r="H33" s="120">
        <v>5000</v>
      </c>
      <c r="I33" s="120">
        <v>4000</v>
      </c>
      <c r="J33" s="120">
        <v>4000</v>
      </c>
      <c r="K33" s="120">
        <v>4000</v>
      </c>
      <c r="L33" s="120">
        <v>5000</v>
      </c>
      <c r="M33" s="120">
        <v>5000</v>
      </c>
      <c r="N33" s="120">
        <v>3000</v>
      </c>
      <c r="O33" s="120">
        <v>3000</v>
      </c>
      <c r="P33" s="120">
        <v>7000</v>
      </c>
      <c r="Q33" s="120">
        <v>7000</v>
      </c>
      <c r="R33" s="120">
        <v>7000</v>
      </c>
      <c r="S33" s="120">
        <v>7000</v>
      </c>
      <c r="T33" s="120">
        <v>7000</v>
      </c>
      <c r="U33" s="120">
        <v>3000</v>
      </c>
      <c r="V33" s="120">
        <v>3000</v>
      </c>
      <c r="W33" s="120">
        <v>5000</v>
      </c>
      <c r="X33" s="120">
        <v>5000</v>
      </c>
      <c r="Y33" s="120">
        <v>5000</v>
      </c>
      <c r="Z33" s="120">
        <v>5000</v>
      </c>
      <c r="AA33" s="120">
        <v>3000</v>
      </c>
      <c r="AB33" s="120">
        <v>5000</v>
      </c>
      <c r="AC33" s="120">
        <v>5000</v>
      </c>
      <c r="AD33" s="120">
        <v>5000</v>
      </c>
      <c r="AE33" s="120">
        <v>5000</v>
      </c>
      <c r="AF33" s="120">
        <v>3000</v>
      </c>
      <c r="AG33" s="120">
        <v>3000</v>
      </c>
    </row>
    <row r="34" spans="1:36" s="1" customFormat="1" x14ac:dyDescent="0.2">
      <c r="A34" s="62" t="s">
        <v>15</v>
      </c>
      <c r="B34" s="28"/>
      <c r="C34" s="28"/>
      <c r="D34" s="28"/>
      <c r="E34" s="28"/>
      <c r="F34" s="28"/>
      <c r="G34" s="28"/>
      <c r="H34" s="28"/>
      <c r="I34" s="28"/>
      <c r="J34" s="28"/>
      <c r="K34" s="28"/>
      <c r="L34" s="28"/>
      <c r="M34" s="28"/>
      <c r="N34" s="120">
        <v>9000</v>
      </c>
      <c r="O34" s="120">
        <v>13000</v>
      </c>
      <c r="P34" s="28"/>
      <c r="Q34" s="28"/>
      <c r="R34" s="28"/>
      <c r="S34" s="28"/>
      <c r="T34" s="28"/>
      <c r="U34" s="120">
        <v>13000</v>
      </c>
      <c r="V34" s="120">
        <v>13000</v>
      </c>
      <c r="W34" s="28"/>
      <c r="X34" s="28"/>
      <c r="Y34" s="28"/>
      <c r="Z34" s="28"/>
      <c r="AA34" s="120">
        <v>13000</v>
      </c>
      <c r="AB34" s="121"/>
      <c r="AC34" s="28"/>
      <c r="AD34" s="121"/>
      <c r="AE34" s="62"/>
      <c r="AF34" s="120">
        <v>13000</v>
      </c>
      <c r="AG34" s="120">
        <v>13000</v>
      </c>
    </row>
    <row r="35" spans="1:36" s="1" customFormat="1" x14ac:dyDescent="0.2">
      <c r="A35" s="62" t="s">
        <v>23</v>
      </c>
      <c r="B35" s="28"/>
      <c r="C35" s="28"/>
      <c r="D35" s="28"/>
      <c r="E35" s="28"/>
      <c r="F35" s="28"/>
      <c r="G35" s="28"/>
      <c r="H35" s="28"/>
      <c r="I35" s="28"/>
      <c r="J35" s="28"/>
      <c r="K35" s="28"/>
      <c r="L35" s="28"/>
      <c r="M35" s="28"/>
      <c r="N35" s="28"/>
      <c r="O35" s="28"/>
      <c r="P35" s="120">
        <v>10000</v>
      </c>
      <c r="Q35" s="120">
        <v>10000</v>
      </c>
      <c r="R35" s="120">
        <v>10000</v>
      </c>
      <c r="S35" s="120">
        <v>10000</v>
      </c>
      <c r="T35" s="120">
        <v>10000</v>
      </c>
      <c r="U35" s="28"/>
      <c r="V35" s="28"/>
      <c r="W35" s="28"/>
      <c r="X35" s="120">
        <v>10000</v>
      </c>
      <c r="Y35" s="120">
        <v>10000</v>
      </c>
      <c r="Z35" s="28"/>
      <c r="AA35" s="121"/>
      <c r="AB35" s="120">
        <v>10000</v>
      </c>
      <c r="AC35" s="120">
        <v>10000</v>
      </c>
      <c r="AD35" s="120">
        <v>10000</v>
      </c>
      <c r="AE35" s="120">
        <v>10000</v>
      </c>
      <c r="AF35" s="120">
        <v>10000</v>
      </c>
      <c r="AG35" s="120">
        <v>10000</v>
      </c>
    </row>
    <row r="36" spans="1:36" s="1" customFormat="1" x14ac:dyDescent="0.2">
      <c r="A36" s="62" t="s">
        <v>20</v>
      </c>
      <c r="B36" s="28"/>
      <c r="C36" s="120">
        <v>2000</v>
      </c>
      <c r="D36" s="120">
        <v>2000</v>
      </c>
      <c r="E36" s="120">
        <v>4000</v>
      </c>
      <c r="F36" s="120">
        <v>4000</v>
      </c>
      <c r="G36" s="120">
        <v>2000</v>
      </c>
      <c r="H36" s="120">
        <v>2000</v>
      </c>
      <c r="I36" s="28"/>
      <c r="J36" s="28"/>
      <c r="K36" s="28"/>
      <c r="L36" s="28"/>
      <c r="M36" s="28"/>
      <c r="N36" s="120">
        <v>2000</v>
      </c>
      <c r="O36" s="120">
        <v>2000</v>
      </c>
      <c r="P36" s="28"/>
      <c r="Q36" s="120">
        <v>2000</v>
      </c>
      <c r="R36" s="120">
        <v>2000</v>
      </c>
      <c r="S36" s="120">
        <v>2000</v>
      </c>
      <c r="T36" s="120">
        <v>2000</v>
      </c>
      <c r="U36" s="120">
        <v>4000</v>
      </c>
      <c r="V36" s="120">
        <v>4000</v>
      </c>
      <c r="W36" s="120">
        <v>2000</v>
      </c>
      <c r="X36" s="120">
        <v>2000</v>
      </c>
      <c r="Y36" s="120">
        <v>2000</v>
      </c>
      <c r="Z36" s="120">
        <v>2000</v>
      </c>
      <c r="AA36" s="121"/>
      <c r="AB36" s="121"/>
      <c r="AC36" s="28"/>
      <c r="AD36" s="121"/>
      <c r="AE36" s="28"/>
      <c r="AF36" s="28"/>
      <c r="AG36" s="62"/>
    </row>
    <row r="37" spans="1:36" s="1" customFormat="1" x14ac:dyDescent="0.2">
      <c r="A37" s="62" t="s">
        <v>21</v>
      </c>
      <c r="B37" s="28"/>
      <c r="C37" s="120">
        <v>2000</v>
      </c>
      <c r="D37" s="120">
        <v>2000</v>
      </c>
      <c r="E37" s="28"/>
      <c r="F37" s="28"/>
      <c r="G37" s="120">
        <v>2000</v>
      </c>
      <c r="H37" s="120">
        <v>2000</v>
      </c>
      <c r="I37" s="28"/>
      <c r="J37" s="28"/>
      <c r="K37" s="28"/>
      <c r="L37" s="28"/>
      <c r="M37" s="28"/>
      <c r="N37" s="120">
        <v>2000</v>
      </c>
      <c r="O37" s="120">
        <v>2000</v>
      </c>
      <c r="P37" s="28"/>
      <c r="Q37" s="120">
        <v>2000</v>
      </c>
      <c r="R37" s="120">
        <v>2000</v>
      </c>
      <c r="S37" s="28"/>
      <c r="T37" s="28"/>
      <c r="U37" s="28"/>
      <c r="V37" s="28"/>
      <c r="W37" s="120">
        <v>2000</v>
      </c>
      <c r="X37" s="120">
        <v>2000</v>
      </c>
      <c r="Y37" s="120">
        <v>2000</v>
      </c>
      <c r="Z37" s="143"/>
      <c r="AA37" s="121"/>
      <c r="AB37" s="121"/>
      <c r="AC37" s="28"/>
      <c r="AD37" s="121"/>
      <c r="AE37" s="28"/>
      <c r="AF37" s="28"/>
      <c r="AG37" s="62"/>
    </row>
    <row r="38" spans="1:36" s="1" customFormat="1" x14ac:dyDescent="0.2">
      <c r="A38" s="62" t="s">
        <v>22</v>
      </c>
      <c r="B38" s="28"/>
      <c r="C38" s="120">
        <v>8000</v>
      </c>
      <c r="D38" s="120">
        <v>8000</v>
      </c>
      <c r="E38" s="120">
        <v>8000</v>
      </c>
      <c r="F38" s="120">
        <v>8000</v>
      </c>
      <c r="G38" s="120">
        <v>8000</v>
      </c>
      <c r="H38" s="120">
        <v>8000</v>
      </c>
      <c r="I38" s="120">
        <v>8000</v>
      </c>
      <c r="J38" s="120">
        <v>8000</v>
      </c>
      <c r="K38" s="120">
        <v>12000</v>
      </c>
      <c r="L38" s="120">
        <v>8000</v>
      </c>
      <c r="M38" s="120">
        <v>8000</v>
      </c>
      <c r="N38" s="120">
        <v>8000</v>
      </c>
      <c r="O38" s="120">
        <v>8000</v>
      </c>
      <c r="P38" s="28"/>
      <c r="Q38" s="120">
        <v>8000</v>
      </c>
      <c r="R38" s="120">
        <v>8000</v>
      </c>
      <c r="S38" s="120">
        <v>8000</v>
      </c>
      <c r="T38" s="120">
        <v>8000</v>
      </c>
      <c r="U38" s="120">
        <v>8000</v>
      </c>
      <c r="V38" s="120">
        <v>8000</v>
      </c>
      <c r="W38" s="120">
        <v>8000</v>
      </c>
      <c r="X38" s="120">
        <v>8000</v>
      </c>
      <c r="Y38" s="120">
        <v>8000</v>
      </c>
      <c r="Z38" s="120">
        <v>8000</v>
      </c>
      <c r="AA38" s="120">
        <v>8000</v>
      </c>
      <c r="AB38" s="120">
        <v>8000</v>
      </c>
      <c r="AC38" s="120">
        <v>8000</v>
      </c>
      <c r="AD38" s="120">
        <v>8000</v>
      </c>
      <c r="AE38" s="120">
        <v>8000</v>
      </c>
      <c r="AF38" s="120">
        <v>8000</v>
      </c>
      <c r="AG38" s="120">
        <v>8000</v>
      </c>
    </row>
    <row r="39" spans="1:36" s="1" customFormat="1" x14ac:dyDescent="0.2">
      <c r="A39" s="122" t="s">
        <v>24</v>
      </c>
      <c r="B39" s="123"/>
      <c r="C39" s="123"/>
      <c r="D39" s="123"/>
      <c r="E39" s="123"/>
      <c r="F39" s="123"/>
      <c r="G39" s="123"/>
      <c r="H39" s="123"/>
      <c r="I39" s="123"/>
      <c r="J39" s="123"/>
      <c r="K39" s="123"/>
      <c r="L39" s="123"/>
      <c r="M39" s="123"/>
      <c r="N39" s="123"/>
      <c r="O39" s="123"/>
      <c r="P39" s="123"/>
      <c r="Q39" s="123"/>
      <c r="R39" s="124">
        <v>5000</v>
      </c>
      <c r="S39" s="123"/>
      <c r="T39" s="124">
        <v>5000</v>
      </c>
      <c r="U39" s="123"/>
      <c r="V39" s="123"/>
      <c r="W39" s="123"/>
      <c r="X39" s="122"/>
      <c r="Y39" s="124">
        <v>5000</v>
      </c>
      <c r="Z39" s="143"/>
      <c r="AA39" s="125"/>
      <c r="AB39" s="123"/>
      <c r="AC39" s="124">
        <v>5000</v>
      </c>
      <c r="AD39" s="125"/>
      <c r="AE39" s="124">
        <v>5000</v>
      </c>
      <c r="AF39" s="123"/>
      <c r="AG39" s="124">
        <v>5000</v>
      </c>
    </row>
    <row r="40" spans="1:36" s="1" customFormat="1" x14ac:dyDescent="0.2">
      <c r="A40" s="54" t="s">
        <v>1</v>
      </c>
      <c r="B40" s="55">
        <f t="shared" ref="B40:AG40" si="0">SUM(B30:B39)</f>
        <v>0</v>
      </c>
      <c r="C40" s="55">
        <f t="shared" si="0"/>
        <v>28000</v>
      </c>
      <c r="D40" s="55">
        <f t="shared" si="0"/>
        <v>28000</v>
      </c>
      <c r="E40" s="55">
        <f t="shared" si="0"/>
        <v>40000</v>
      </c>
      <c r="F40" s="55">
        <f t="shared" si="0"/>
        <v>47000</v>
      </c>
      <c r="G40" s="55">
        <f t="shared" si="0"/>
        <v>52000</v>
      </c>
      <c r="H40" s="55">
        <f t="shared" si="0"/>
        <v>59000</v>
      </c>
      <c r="I40" s="55">
        <f t="shared" si="0"/>
        <v>24000</v>
      </c>
      <c r="J40" s="55">
        <f t="shared" si="0"/>
        <v>24000</v>
      </c>
      <c r="K40" s="55">
        <f t="shared" si="0"/>
        <v>41000</v>
      </c>
      <c r="L40" s="55">
        <f t="shared" si="0"/>
        <v>38000</v>
      </c>
      <c r="M40" s="55">
        <f t="shared" si="0"/>
        <v>54200</v>
      </c>
      <c r="N40" s="55">
        <f t="shared" si="0"/>
        <v>36000</v>
      </c>
      <c r="O40" s="55">
        <f t="shared" si="0"/>
        <v>40000</v>
      </c>
      <c r="P40" s="55">
        <f t="shared" si="0"/>
        <v>21000</v>
      </c>
      <c r="Q40" s="55">
        <f>SUM(Q30:Q39)</f>
        <v>41000</v>
      </c>
      <c r="R40" s="55">
        <f t="shared" si="0"/>
        <v>46000</v>
      </c>
      <c r="S40" s="55">
        <f t="shared" si="0"/>
        <v>57000</v>
      </c>
      <c r="T40" s="55">
        <f t="shared" si="0"/>
        <v>62000</v>
      </c>
      <c r="U40" s="55">
        <f t="shared" si="0"/>
        <v>50000</v>
      </c>
      <c r="V40" s="55">
        <f t="shared" si="0"/>
        <v>58000</v>
      </c>
      <c r="W40" s="55">
        <f t="shared" si="0"/>
        <v>47000</v>
      </c>
      <c r="X40" s="55">
        <f t="shared" si="0"/>
        <v>57000</v>
      </c>
      <c r="Y40" s="55">
        <f t="shared" si="0"/>
        <v>62000</v>
      </c>
      <c r="Z40" s="55">
        <f t="shared" si="0"/>
        <v>55000</v>
      </c>
      <c r="AA40" s="55">
        <f t="shared" si="0"/>
        <v>66300</v>
      </c>
      <c r="AB40" s="55">
        <f t="shared" si="0"/>
        <v>48000</v>
      </c>
      <c r="AC40" s="55">
        <f t="shared" si="0"/>
        <v>53000</v>
      </c>
      <c r="AD40" s="55">
        <f t="shared" si="0"/>
        <v>64200</v>
      </c>
      <c r="AE40" s="55">
        <f t="shared" si="0"/>
        <v>69200</v>
      </c>
      <c r="AF40" s="55">
        <f t="shared" si="0"/>
        <v>76300</v>
      </c>
      <c r="AG40" s="55">
        <f t="shared" si="0"/>
        <v>81300</v>
      </c>
      <c r="AJ40"/>
    </row>
    <row r="41" spans="1:36" x14ac:dyDescent="0.2">
      <c r="A41" s="34" t="s">
        <v>174</v>
      </c>
      <c r="B41" s="132"/>
      <c r="C41" s="127">
        <v>30000</v>
      </c>
      <c r="D41" s="127">
        <v>30000</v>
      </c>
      <c r="E41" s="127">
        <v>30000</v>
      </c>
      <c r="F41" s="127">
        <v>30000</v>
      </c>
      <c r="G41" s="127">
        <v>30000</v>
      </c>
      <c r="H41" s="127">
        <v>30000</v>
      </c>
      <c r="I41" s="127">
        <v>30000</v>
      </c>
      <c r="J41" s="127">
        <v>30000</v>
      </c>
      <c r="K41" s="127">
        <v>30000</v>
      </c>
      <c r="L41" s="127">
        <v>30000</v>
      </c>
      <c r="M41" s="127">
        <v>30000</v>
      </c>
      <c r="N41" s="127">
        <v>30000</v>
      </c>
      <c r="O41" s="127">
        <v>30000</v>
      </c>
      <c r="P41" s="127">
        <v>30000</v>
      </c>
      <c r="Q41" s="127">
        <v>30000</v>
      </c>
      <c r="R41" s="127">
        <v>30000</v>
      </c>
      <c r="S41" s="127">
        <v>30000</v>
      </c>
      <c r="T41" s="127">
        <v>30000</v>
      </c>
      <c r="U41" s="127">
        <v>30000</v>
      </c>
      <c r="V41" s="127">
        <v>30000</v>
      </c>
      <c r="W41" s="127">
        <v>30000</v>
      </c>
      <c r="X41" s="127">
        <v>30000</v>
      </c>
      <c r="Y41" s="127">
        <v>30000</v>
      </c>
      <c r="Z41" s="127">
        <v>30000</v>
      </c>
      <c r="AA41" s="127">
        <v>30000</v>
      </c>
      <c r="AB41" s="127">
        <v>30000</v>
      </c>
      <c r="AC41" s="127">
        <v>30000</v>
      </c>
      <c r="AD41" s="127">
        <v>30000</v>
      </c>
      <c r="AE41" s="127">
        <v>30000</v>
      </c>
      <c r="AF41" s="127">
        <v>30000</v>
      </c>
      <c r="AG41" s="127">
        <v>30000</v>
      </c>
    </row>
    <row r="42" spans="1:36" x14ac:dyDescent="0.2">
      <c r="A42" s="34" t="s">
        <v>175</v>
      </c>
      <c r="B42" s="132"/>
      <c r="C42" s="146">
        <v>0</v>
      </c>
      <c r="D42" s="146">
        <v>0</v>
      </c>
      <c r="E42" s="146">
        <v>0.6</v>
      </c>
      <c r="F42" s="146">
        <v>0.6</v>
      </c>
      <c r="G42" s="146">
        <v>0</v>
      </c>
      <c r="H42" s="146">
        <v>0.6</v>
      </c>
      <c r="I42" s="146">
        <v>0.7</v>
      </c>
      <c r="J42" s="146">
        <v>0.7</v>
      </c>
      <c r="K42" s="146">
        <v>0.7</v>
      </c>
      <c r="L42" s="146">
        <v>0.7</v>
      </c>
      <c r="M42" s="146">
        <v>0.7</v>
      </c>
      <c r="N42" s="146">
        <v>0.6</v>
      </c>
      <c r="O42" s="146">
        <v>0.6</v>
      </c>
      <c r="P42" s="146">
        <v>0</v>
      </c>
      <c r="Q42" s="146">
        <v>0</v>
      </c>
      <c r="R42" s="146">
        <v>0</v>
      </c>
      <c r="S42" s="146">
        <v>0.7</v>
      </c>
      <c r="T42" s="146">
        <v>0.7</v>
      </c>
      <c r="U42" s="146">
        <v>0.7</v>
      </c>
      <c r="V42" s="146">
        <v>0.7</v>
      </c>
      <c r="W42" s="146">
        <v>0.6</v>
      </c>
      <c r="X42" s="146">
        <v>0.6</v>
      </c>
      <c r="Y42" s="146">
        <v>0.6</v>
      </c>
      <c r="Z42" s="146">
        <v>0.7</v>
      </c>
      <c r="AA42" s="146">
        <v>0.7</v>
      </c>
      <c r="AB42" s="146">
        <v>0.7</v>
      </c>
      <c r="AC42" s="146">
        <v>0.7</v>
      </c>
      <c r="AD42" s="146">
        <v>0.7</v>
      </c>
      <c r="AE42" s="146">
        <v>0.7</v>
      </c>
      <c r="AF42" s="146">
        <v>0.7</v>
      </c>
      <c r="AG42" s="146">
        <v>0.7</v>
      </c>
    </row>
    <row r="43" spans="1:36" x14ac:dyDescent="0.2">
      <c r="A43" s="34" t="s">
        <v>176</v>
      </c>
      <c r="B43" s="132"/>
      <c r="C43" s="132">
        <v>0</v>
      </c>
      <c r="D43" s="132">
        <v>0</v>
      </c>
      <c r="E43" s="132">
        <f>IF(E40-E31&gt;E41,E41,E40-E31)</f>
        <v>30000</v>
      </c>
      <c r="F43" s="132">
        <f>IF(F40-F31&gt;F41,F41,F40-F31)</f>
        <v>30000</v>
      </c>
      <c r="G43" s="132">
        <v>0</v>
      </c>
      <c r="H43" s="132">
        <f>IF(H30+H33+H38&gt;H41,H41,H30+H33+H38)</f>
        <v>30000</v>
      </c>
      <c r="I43" s="132">
        <f>IF(I40-I31&gt;I41,I41,I40-I31)</f>
        <v>24000</v>
      </c>
      <c r="J43" s="132">
        <f t="shared" ref="J43:M43" si="1">IF(J40-J31&gt;J41,J41,J40-J31)</f>
        <v>24000</v>
      </c>
      <c r="K43" s="132">
        <f t="shared" si="1"/>
        <v>30000</v>
      </c>
      <c r="L43" s="132">
        <f t="shared" si="1"/>
        <v>30000</v>
      </c>
      <c r="M43" s="132">
        <f t="shared" si="1"/>
        <v>30000</v>
      </c>
      <c r="N43" s="132">
        <f>IF(N33+N34&gt;N41,N41,N33+N34)</f>
        <v>12000</v>
      </c>
      <c r="O43" s="132">
        <f>IF(O34+O38+O33&gt;O41,O41,O34+O38+O33)</f>
        <v>24000</v>
      </c>
      <c r="P43" s="132">
        <f>IF(P34+P38&gt;P41,P41,P34+P38)</f>
        <v>0</v>
      </c>
      <c r="Q43" s="132">
        <v>0</v>
      </c>
      <c r="R43" s="132">
        <v>0</v>
      </c>
      <c r="S43" s="132">
        <f>IF(S40-S31-S35&gt;S41,S41,S40-S31-S35)</f>
        <v>30000</v>
      </c>
      <c r="T43" s="132">
        <f>IF(T40-T31-T35-T39&gt;T41,T41,T40-T31-T35-T39)</f>
        <v>30000</v>
      </c>
      <c r="U43" s="132">
        <f t="shared" ref="U43:V43" si="2">IF(U40-U31&gt;U41,U41,U40-U31)</f>
        <v>30000</v>
      </c>
      <c r="V43" s="132">
        <f t="shared" si="2"/>
        <v>30000</v>
      </c>
      <c r="W43" s="132">
        <f>IF(W40-W31-$D$30-W35-W36-W37-W39&gt;W41,W41,W40-W31-$D$30-W35-W36-W37-W39)</f>
        <v>30000</v>
      </c>
      <c r="X43" s="132">
        <f t="shared" ref="X43:Y43" si="3">IF(X40-X31-$D$30-X35-X36-X37-X39&gt;X41,X41,X40-X31-$D$30-X35-X36-X37-X39)</f>
        <v>30000</v>
      </c>
      <c r="Y43" s="132">
        <f t="shared" si="3"/>
        <v>30000</v>
      </c>
      <c r="Z43" s="132">
        <f>IF(Z40-Z31-Z37-Z35-Z39&gt;Z41,Z41,Z40-Z31-Z37-Z35-Z39)</f>
        <v>30000</v>
      </c>
      <c r="AA43" s="132">
        <f t="shared" ref="AA43:AF43" si="4">IF(AA40-AA31-AA37-AA35-AA39&gt;AA41,AA41,AA40-AA31-AA37-AA35-AA39)</f>
        <v>30000</v>
      </c>
      <c r="AB43" s="132">
        <f t="shared" si="4"/>
        <v>30000</v>
      </c>
      <c r="AC43" s="132">
        <f t="shared" si="4"/>
        <v>30000</v>
      </c>
      <c r="AD43" s="132">
        <f t="shared" si="4"/>
        <v>30000</v>
      </c>
      <c r="AE43" s="132">
        <f t="shared" si="4"/>
        <v>30000</v>
      </c>
      <c r="AF43" s="132">
        <f t="shared" si="4"/>
        <v>30000</v>
      </c>
      <c r="AG43" s="132">
        <f t="shared" ref="AG43" si="5">IF(AG40-AG31-AG37-AG35-AG39&gt;AG41,AG41,AG40-AG31-AG37-AG35-AG39)</f>
        <v>30000</v>
      </c>
    </row>
    <row r="44" spans="1:36" x14ac:dyDescent="0.2">
      <c r="A44" s="34" t="s">
        <v>177</v>
      </c>
      <c r="B44" s="132"/>
      <c r="C44" s="132">
        <f>C43*C42</f>
        <v>0</v>
      </c>
      <c r="D44" s="132">
        <f t="shared" ref="D44:AF44" si="6">D43*D42</f>
        <v>0</v>
      </c>
      <c r="E44" s="132">
        <f t="shared" si="6"/>
        <v>18000</v>
      </c>
      <c r="F44" s="132">
        <f t="shared" si="6"/>
        <v>18000</v>
      </c>
      <c r="G44" s="132">
        <f t="shared" si="6"/>
        <v>0</v>
      </c>
      <c r="H44" s="132">
        <f t="shared" si="6"/>
        <v>18000</v>
      </c>
      <c r="I44" s="132">
        <f t="shared" si="6"/>
        <v>16800</v>
      </c>
      <c r="J44" s="132">
        <f t="shared" si="6"/>
        <v>16800</v>
      </c>
      <c r="K44" s="132">
        <f t="shared" si="6"/>
        <v>21000</v>
      </c>
      <c r="L44" s="132">
        <f t="shared" si="6"/>
        <v>21000</v>
      </c>
      <c r="M44" s="132">
        <f t="shared" si="6"/>
        <v>21000</v>
      </c>
      <c r="N44" s="132">
        <f t="shared" si="6"/>
        <v>7200</v>
      </c>
      <c r="O44" s="132">
        <f t="shared" si="6"/>
        <v>14400</v>
      </c>
      <c r="P44" s="132">
        <f t="shared" si="6"/>
        <v>0</v>
      </c>
      <c r="Q44" s="132">
        <f t="shared" si="6"/>
        <v>0</v>
      </c>
      <c r="R44" s="132">
        <f t="shared" si="6"/>
        <v>0</v>
      </c>
      <c r="S44" s="132">
        <f t="shared" si="6"/>
        <v>21000</v>
      </c>
      <c r="T44" s="132">
        <f t="shared" si="6"/>
        <v>21000</v>
      </c>
      <c r="U44" s="132">
        <f t="shared" si="6"/>
        <v>21000</v>
      </c>
      <c r="V44" s="132">
        <f t="shared" si="6"/>
        <v>21000</v>
      </c>
      <c r="W44" s="132">
        <f t="shared" si="6"/>
        <v>18000</v>
      </c>
      <c r="X44" s="132">
        <f t="shared" si="6"/>
        <v>18000</v>
      </c>
      <c r="Y44" s="132">
        <f t="shared" si="6"/>
        <v>18000</v>
      </c>
      <c r="Z44" s="132">
        <f t="shared" si="6"/>
        <v>21000</v>
      </c>
      <c r="AA44" s="132">
        <f t="shared" si="6"/>
        <v>21000</v>
      </c>
      <c r="AB44" s="132">
        <f t="shared" si="6"/>
        <v>21000</v>
      </c>
      <c r="AC44" s="132">
        <f t="shared" si="6"/>
        <v>21000</v>
      </c>
      <c r="AD44" s="132">
        <f t="shared" si="6"/>
        <v>21000</v>
      </c>
      <c r="AE44" s="132">
        <f t="shared" si="6"/>
        <v>21000</v>
      </c>
      <c r="AF44" s="132">
        <f t="shared" si="6"/>
        <v>21000</v>
      </c>
      <c r="AG44" s="132">
        <f t="shared" ref="AG44" si="7">AG43*AG42</f>
        <v>21000</v>
      </c>
    </row>
    <row r="45" spans="1:36" s="1" customFormat="1" x14ac:dyDescent="0.2">
      <c r="A45" s="34" t="s">
        <v>178</v>
      </c>
      <c r="B45" s="132"/>
      <c r="C45" s="132"/>
      <c r="D45" s="132"/>
      <c r="E45" s="132">
        <v>0</v>
      </c>
      <c r="F45" s="132">
        <v>0</v>
      </c>
      <c r="G45" s="132"/>
      <c r="H45" s="132">
        <f>IF(H30+H33+H36+H37+H38&gt;60000,60000,H30+H33+H36+H37+H38)</f>
        <v>59000</v>
      </c>
      <c r="I45" s="132">
        <f>IF(I30+I33+I38&gt;60000,60000,I30+I33+I38)</f>
        <v>24000</v>
      </c>
      <c r="J45" s="132">
        <f>IF(J30+J33+J38&gt;60000,60000,J30+J33+J38)</f>
        <v>24000</v>
      </c>
      <c r="K45" s="132">
        <f>IF(K30+K33+K38&gt;60000,60000,K30+K33+K38)</f>
        <v>41000</v>
      </c>
      <c r="L45" s="132">
        <f>IF(L30+L33+L38&gt;60000,60000,L30+L33+L38)</f>
        <v>38000</v>
      </c>
      <c r="M45" s="132">
        <f>IF(M30+M33+M38&gt;60000,60000,M30+M33+M38)</f>
        <v>54200</v>
      </c>
      <c r="N45" s="132">
        <f>IF(N34+N33&gt;60000,60000,N34+N33)</f>
        <v>12000</v>
      </c>
      <c r="O45" s="132">
        <f>IF(O34+O33&gt;60000,60000,O34+O33)</f>
        <v>16000</v>
      </c>
      <c r="P45" s="132"/>
      <c r="Q45" s="132"/>
      <c r="R45" s="132"/>
      <c r="S45" s="132">
        <f>IF(S30+S32+S33+S36+S38-4000&gt;60000,60000,S30+S32+S33+S36+S38-4000)</f>
        <v>43000</v>
      </c>
      <c r="T45" s="132">
        <f>IF(T30+T32+T33+T36+T38-4000&gt;60000,60000,T30+T32+T33+T36+T38-4000)</f>
        <v>43000</v>
      </c>
      <c r="U45" s="132">
        <f>IF(U30+U32+U33+U34+U36+U38&gt;60000,60000,U30+U32+U33+U34+U36+U38)</f>
        <v>50000</v>
      </c>
      <c r="V45" s="132">
        <f>IF(V30+V32+V33+V34+V36+V38&gt;60000,60000,V30+V32+V33+V34+V36+V38)</f>
        <v>58000</v>
      </c>
      <c r="W45" s="132">
        <v>0</v>
      </c>
      <c r="X45" s="132">
        <v>0</v>
      </c>
      <c r="Y45" s="132">
        <v>0</v>
      </c>
      <c r="Z45" s="132">
        <f>IF(Z30+Z33+Z36+Z38&gt;60000,60000,Z30+Z33+Z36+Z38)</f>
        <v>55000</v>
      </c>
      <c r="AA45" s="132">
        <f>IF(AA30+AA33+AA34+AA38&gt;60000,60000,AA30+AA33+AA34+AA38)</f>
        <v>60000</v>
      </c>
      <c r="AB45" s="132">
        <f>IF(AB30+AB33+AB38&gt;60000,60000,AB30+AB33+AB38)</f>
        <v>38000</v>
      </c>
      <c r="AC45" s="132">
        <f>IF(AC30+AC33+AC38&gt;60000,60000,AC30+AC33+AC38)</f>
        <v>38000</v>
      </c>
      <c r="AD45" s="132">
        <f>IF(AD30+AD33+AD38&gt;60000,60000,AD30+AD33+AD38)</f>
        <v>54200</v>
      </c>
      <c r="AE45" s="132">
        <f>IF(AE30+AE33+AE38&gt;60000,60000,AE30+AE33+AE38)</f>
        <v>54200</v>
      </c>
      <c r="AF45" s="132">
        <f>IF(AF30+AF33+AF34+AF38&gt;60000,60000,AF30+AF33+AF34+AF38)</f>
        <v>60000</v>
      </c>
      <c r="AG45" s="132">
        <f>IF(AG30+AG33+AG34+AG38&gt;60000,60000,AG30+AG33+AG34+AG38)</f>
        <v>60000</v>
      </c>
      <c r="AJ45"/>
    </row>
    <row r="46" spans="1:36" s="1" customFormat="1" x14ac:dyDescent="0.2">
      <c r="A46" s="34" t="s">
        <v>179</v>
      </c>
      <c r="B46" s="132"/>
      <c r="C46" s="132"/>
      <c r="D46" s="132"/>
      <c r="E46" s="132">
        <f>0.2*E45</f>
        <v>0</v>
      </c>
      <c r="F46" s="132">
        <f>0.2*F45</f>
        <v>0</v>
      </c>
      <c r="G46" s="132"/>
      <c r="H46" s="132">
        <f>0.35*H45</f>
        <v>20650</v>
      </c>
      <c r="I46" s="132">
        <f>0.4*I45</f>
        <v>9600</v>
      </c>
      <c r="J46" s="132">
        <f>0.4*J45</f>
        <v>9600</v>
      </c>
      <c r="K46" s="132">
        <f>0.4*K45</f>
        <v>16400</v>
      </c>
      <c r="L46" s="132">
        <f>0.4*L45</f>
        <v>15200</v>
      </c>
      <c r="M46" s="132">
        <f>0.4*M45</f>
        <v>21680</v>
      </c>
      <c r="N46" s="132">
        <f>0.25*N45</f>
        <v>3000</v>
      </c>
      <c r="O46" s="132">
        <f>0.25*O45</f>
        <v>4000</v>
      </c>
      <c r="P46" s="132"/>
      <c r="Q46" s="132"/>
      <c r="R46" s="132"/>
      <c r="S46" s="132">
        <f>0.2*S45</f>
        <v>8600</v>
      </c>
      <c r="T46" s="132">
        <f>0.2*T45</f>
        <v>8600</v>
      </c>
      <c r="U46" s="132">
        <f>0.2*(U45-U33-U34)+0.35*(U33+U34)</f>
        <v>12400</v>
      </c>
      <c r="V46" s="132">
        <f>0.2*(V45-V33-V34)+0.35*(V33+V34)</f>
        <v>14000</v>
      </c>
      <c r="W46" s="132">
        <f t="shared" ref="W46:Y46" si="8">0.3*W45</f>
        <v>0</v>
      </c>
      <c r="X46" s="132">
        <f t="shared" si="8"/>
        <v>0</v>
      </c>
      <c r="Y46" s="132">
        <f t="shared" si="8"/>
        <v>0</v>
      </c>
      <c r="Z46" s="132">
        <f>0.2*Z45</f>
        <v>11000</v>
      </c>
      <c r="AA46" s="132">
        <f>0.4*(AA45-AA33-AA34)+0.35*(AA33+AA34)</f>
        <v>23200</v>
      </c>
      <c r="AB46" s="132">
        <f>0.4*AB45</f>
        <v>15200</v>
      </c>
      <c r="AC46" s="132">
        <f>0.4*AC45</f>
        <v>15200</v>
      </c>
      <c r="AD46" s="132">
        <f>0.4*AD45</f>
        <v>21680</v>
      </c>
      <c r="AE46" s="132">
        <f>0.4*AE45</f>
        <v>21680</v>
      </c>
      <c r="AF46" s="132">
        <f>0.4*(AF45-AF33-AF34)+0.35*(AF33+AF34)</f>
        <v>23200</v>
      </c>
      <c r="AG46" s="132">
        <f>0.4*(AG45-AG33-AG34)+0.35*(AG33+AG34)</f>
        <v>23200</v>
      </c>
      <c r="AJ46"/>
    </row>
    <row r="47" spans="1:36" s="1" customFormat="1" x14ac:dyDescent="0.2">
      <c r="A47" s="34" t="s">
        <v>161</v>
      </c>
      <c r="B47" s="132"/>
      <c r="C47" s="132"/>
      <c r="D47" s="132"/>
      <c r="E47" s="132"/>
      <c r="F47" s="132"/>
      <c r="G47" s="132">
        <v>2400</v>
      </c>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J47"/>
    </row>
    <row r="48" spans="1:36" s="1" customFormat="1" x14ac:dyDescent="0.2">
      <c r="A48" s="34" t="s">
        <v>160</v>
      </c>
      <c r="B48" s="132"/>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J48"/>
    </row>
    <row r="49" spans="1:33" x14ac:dyDescent="0.2">
      <c r="A49" s="59" t="s">
        <v>6</v>
      </c>
      <c r="B49" s="126"/>
      <c r="C49" s="126">
        <f>IF($B$19="n",C46+C47+C48,C44+C47+C48)</f>
        <v>0</v>
      </c>
      <c r="D49" s="126">
        <f t="shared" ref="D49:AG49" si="9">IF($B$19="n",D46+D47+D48,D44+D47+D48)</f>
        <v>0</v>
      </c>
      <c r="E49" s="126">
        <f t="shared" si="9"/>
        <v>18000</v>
      </c>
      <c r="F49" s="126">
        <f t="shared" si="9"/>
        <v>18000</v>
      </c>
      <c r="G49" s="126">
        <f t="shared" si="9"/>
        <v>2400</v>
      </c>
      <c r="H49" s="126">
        <f t="shared" si="9"/>
        <v>18000</v>
      </c>
      <c r="I49" s="126">
        <f t="shared" si="9"/>
        <v>16800</v>
      </c>
      <c r="J49" s="126">
        <f t="shared" si="9"/>
        <v>16800</v>
      </c>
      <c r="K49" s="126">
        <f t="shared" si="9"/>
        <v>21000</v>
      </c>
      <c r="L49" s="126">
        <f t="shared" si="9"/>
        <v>21000</v>
      </c>
      <c r="M49" s="126">
        <f t="shared" si="9"/>
        <v>21000</v>
      </c>
      <c r="N49" s="126">
        <f t="shared" si="9"/>
        <v>7200</v>
      </c>
      <c r="O49" s="126">
        <f t="shared" si="9"/>
        <v>14400</v>
      </c>
      <c r="P49" s="126">
        <f t="shared" si="9"/>
        <v>0</v>
      </c>
      <c r="Q49" s="126">
        <f t="shared" si="9"/>
        <v>0</v>
      </c>
      <c r="R49" s="126">
        <f t="shared" si="9"/>
        <v>0</v>
      </c>
      <c r="S49" s="126">
        <f t="shared" si="9"/>
        <v>21000</v>
      </c>
      <c r="T49" s="126">
        <f t="shared" si="9"/>
        <v>21000</v>
      </c>
      <c r="U49" s="126">
        <f t="shared" si="9"/>
        <v>21000</v>
      </c>
      <c r="V49" s="126">
        <f t="shared" si="9"/>
        <v>21000</v>
      </c>
      <c r="W49" s="126">
        <f t="shared" si="9"/>
        <v>18000</v>
      </c>
      <c r="X49" s="126">
        <f t="shared" si="9"/>
        <v>18000</v>
      </c>
      <c r="Y49" s="126">
        <f t="shared" si="9"/>
        <v>18000</v>
      </c>
      <c r="Z49" s="126">
        <f t="shared" si="9"/>
        <v>21000</v>
      </c>
      <c r="AA49" s="126">
        <f t="shared" si="9"/>
        <v>21000</v>
      </c>
      <c r="AB49" s="126">
        <f t="shared" si="9"/>
        <v>21000</v>
      </c>
      <c r="AC49" s="126">
        <f t="shared" si="9"/>
        <v>21000</v>
      </c>
      <c r="AD49" s="126">
        <f t="shared" si="9"/>
        <v>21000</v>
      </c>
      <c r="AE49" s="126">
        <f t="shared" si="9"/>
        <v>21000</v>
      </c>
      <c r="AF49" s="126">
        <f t="shared" si="9"/>
        <v>21000</v>
      </c>
      <c r="AG49" s="126">
        <f t="shared" si="9"/>
        <v>21000</v>
      </c>
    </row>
    <row r="50" spans="1:33" x14ac:dyDescent="0.2">
      <c r="A50" s="29" t="s">
        <v>25</v>
      </c>
      <c r="B50" s="33">
        <f>B40-B49</f>
        <v>0</v>
      </c>
      <c r="C50" s="33">
        <f>C40-C49</f>
        <v>28000</v>
      </c>
      <c r="D50" s="33">
        <f>D40-D49</f>
        <v>28000</v>
      </c>
      <c r="E50" s="33">
        <f>E40-E49</f>
        <v>22000</v>
      </c>
      <c r="F50" s="33">
        <f>F40-F49</f>
        <v>29000</v>
      </c>
      <c r="G50" s="33">
        <f t="shared" ref="G50:AA50" si="10">G40-G49</f>
        <v>49600</v>
      </c>
      <c r="H50" s="33">
        <f t="shared" si="10"/>
        <v>41000</v>
      </c>
      <c r="I50" s="33">
        <f t="shared" si="10"/>
        <v>7200</v>
      </c>
      <c r="J50" s="33">
        <f t="shared" si="10"/>
        <v>7200</v>
      </c>
      <c r="K50" s="33">
        <f t="shared" si="10"/>
        <v>20000</v>
      </c>
      <c r="L50" s="33">
        <f t="shared" si="10"/>
        <v>17000</v>
      </c>
      <c r="M50" s="33">
        <f t="shared" si="10"/>
        <v>33200</v>
      </c>
      <c r="N50" s="33">
        <f t="shared" si="10"/>
        <v>28800</v>
      </c>
      <c r="O50" s="33">
        <f>O40-O49</f>
        <v>25600</v>
      </c>
      <c r="P50" s="33">
        <f>P40-P49</f>
        <v>21000</v>
      </c>
      <c r="Q50" s="33">
        <f>Q40-Q49</f>
        <v>41000</v>
      </c>
      <c r="R50" s="33">
        <f>R40-R49</f>
        <v>46000</v>
      </c>
      <c r="S50" s="33">
        <f t="shared" si="10"/>
        <v>36000</v>
      </c>
      <c r="T50" s="33">
        <f t="shared" si="10"/>
        <v>41000</v>
      </c>
      <c r="U50" s="33">
        <f t="shared" si="10"/>
        <v>29000</v>
      </c>
      <c r="V50" s="33">
        <f t="shared" si="10"/>
        <v>37000</v>
      </c>
      <c r="W50" s="33">
        <f t="shared" si="10"/>
        <v>29000</v>
      </c>
      <c r="X50" s="33">
        <f t="shared" si="10"/>
        <v>39000</v>
      </c>
      <c r="Y50" s="33">
        <f t="shared" si="10"/>
        <v>44000</v>
      </c>
      <c r="Z50" s="33">
        <f t="shared" si="10"/>
        <v>34000</v>
      </c>
      <c r="AA50" s="33">
        <f t="shared" si="10"/>
        <v>45300</v>
      </c>
      <c r="AB50" s="33">
        <f t="shared" ref="AB50:AG50" si="11">AB40-AB49</f>
        <v>27000</v>
      </c>
      <c r="AC50" s="33">
        <f t="shared" si="11"/>
        <v>32000</v>
      </c>
      <c r="AD50" s="33">
        <f t="shared" si="11"/>
        <v>43200</v>
      </c>
      <c r="AE50" s="33">
        <f t="shared" si="11"/>
        <v>48200</v>
      </c>
      <c r="AF50" s="33">
        <f t="shared" si="11"/>
        <v>55300</v>
      </c>
      <c r="AG50" s="33">
        <f t="shared" si="11"/>
        <v>60300</v>
      </c>
    </row>
    <row r="51" spans="1:33" x14ac:dyDescent="0.2">
      <c r="A51" s="54" t="s">
        <v>122</v>
      </c>
      <c r="B51" s="55">
        <v>0</v>
      </c>
      <c r="C51" s="55">
        <f>C50-$B$40</f>
        <v>28000</v>
      </c>
      <c r="D51" s="55">
        <f t="shared" ref="D51:J51" si="12">D50-$B$50</f>
        <v>28000</v>
      </c>
      <c r="E51" s="55">
        <f t="shared" si="12"/>
        <v>22000</v>
      </c>
      <c r="F51" s="55">
        <f t="shared" si="12"/>
        <v>29000</v>
      </c>
      <c r="G51" s="55">
        <f t="shared" si="12"/>
        <v>49600</v>
      </c>
      <c r="H51" s="55">
        <f t="shared" si="12"/>
        <v>41000</v>
      </c>
      <c r="I51" s="55">
        <f t="shared" si="12"/>
        <v>7200</v>
      </c>
      <c r="J51" s="55">
        <f t="shared" si="12"/>
        <v>7200</v>
      </c>
      <c r="K51" s="55">
        <f>K50-$B$40</f>
        <v>20000</v>
      </c>
      <c r="L51" s="55">
        <f t="shared" ref="L51:AA51" si="13">L50-$B$50</f>
        <v>17000</v>
      </c>
      <c r="M51" s="55">
        <f t="shared" si="13"/>
        <v>33200</v>
      </c>
      <c r="N51" s="55">
        <f t="shared" si="13"/>
        <v>28800</v>
      </c>
      <c r="O51" s="55">
        <f t="shared" si="13"/>
        <v>25600</v>
      </c>
      <c r="P51" s="55">
        <f t="shared" si="13"/>
        <v>21000</v>
      </c>
      <c r="Q51" s="55">
        <f t="shared" si="13"/>
        <v>41000</v>
      </c>
      <c r="R51" s="55">
        <f t="shared" si="13"/>
        <v>46000</v>
      </c>
      <c r="S51" s="55">
        <f t="shared" si="13"/>
        <v>36000</v>
      </c>
      <c r="T51" s="55">
        <f t="shared" si="13"/>
        <v>41000</v>
      </c>
      <c r="U51" s="55">
        <f t="shared" si="13"/>
        <v>29000</v>
      </c>
      <c r="V51" s="55">
        <f t="shared" si="13"/>
        <v>37000</v>
      </c>
      <c r="W51" s="55">
        <f t="shared" si="13"/>
        <v>29000</v>
      </c>
      <c r="X51" s="55">
        <f t="shared" si="13"/>
        <v>39000</v>
      </c>
      <c r="Y51" s="55">
        <f t="shared" si="13"/>
        <v>44000</v>
      </c>
      <c r="Z51" s="55">
        <f t="shared" si="13"/>
        <v>34000</v>
      </c>
      <c r="AA51" s="55">
        <f t="shared" si="13"/>
        <v>45300</v>
      </c>
      <c r="AB51" s="55">
        <f t="shared" ref="AB51:AG51" si="14">AB50-$B$50</f>
        <v>27000</v>
      </c>
      <c r="AC51" s="55">
        <f t="shared" si="14"/>
        <v>32000</v>
      </c>
      <c r="AD51" s="55">
        <f t="shared" si="14"/>
        <v>43200</v>
      </c>
      <c r="AE51" s="55">
        <f t="shared" si="14"/>
        <v>48200</v>
      </c>
      <c r="AF51" s="55">
        <f t="shared" si="14"/>
        <v>55300</v>
      </c>
      <c r="AG51" s="55">
        <f t="shared" si="14"/>
        <v>60300</v>
      </c>
    </row>
    <row r="52" spans="1:33" x14ac:dyDescent="0.2">
      <c r="A52" s="59" t="s">
        <v>120</v>
      </c>
      <c r="B52" s="60">
        <f>'Haustechnikvarianten gesamt'!B45*'Haustechnikvarianten berechnen'!$AI$5</f>
        <v>18620</v>
      </c>
      <c r="C52" s="60">
        <f>'Haustechnikvarianten gesamt'!C45*'Haustechnikvarianten berechnen'!$AI$5</f>
        <v>25120</v>
      </c>
      <c r="D52" s="60">
        <f>'Haustechnikvarianten gesamt'!D45*'Haustechnikvarianten berechnen'!$AI$5</f>
        <v>23270</v>
      </c>
      <c r="E52" s="60">
        <f>'Haustechnikvarianten gesamt'!E45*'Haustechnikvarianten berechnen'!$AI$5</f>
        <v>35350</v>
      </c>
      <c r="F52" s="60">
        <f>'Haustechnikvarianten gesamt'!F45*'Haustechnikvarianten berechnen'!$AI$5</f>
        <v>26510</v>
      </c>
      <c r="G52" s="60">
        <f>'Haustechnikvarianten gesamt'!G45*'Haustechnikvarianten berechnen'!$AI$5</f>
        <v>32010</v>
      </c>
      <c r="H52" s="60">
        <f>'Haustechnikvarianten gesamt'!H45*'Haustechnikvarianten berechnen'!$AI$5</f>
        <v>29570</v>
      </c>
      <c r="I52" s="60">
        <f>'Haustechnikvarianten gesamt'!I45*'Haustechnikvarianten berechnen'!$AI$5</f>
        <v>25650</v>
      </c>
      <c r="J52" s="60">
        <f>'Haustechnikvarianten gesamt'!J45*'Haustechnikvarianten berechnen'!$AI$5</f>
        <v>25650</v>
      </c>
      <c r="K52" s="60">
        <f>'Haustechnikvarianten gesamt'!K45*'Haustechnikvarianten berechnen'!$AI$5</f>
        <v>6090</v>
      </c>
      <c r="L52" s="60">
        <f>'Haustechnikvarianten gesamt'!L45*'Haustechnikvarianten berechnen'!$AI$5</f>
        <v>10530</v>
      </c>
      <c r="M52" s="60">
        <f>'Haustechnikvarianten gesamt'!M45*'Haustechnikvarianten berechnen'!$AI$5</f>
        <v>6230</v>
      </c>
      <c r="N52" s="60">
        <f>'Haustechnikvarianten gesamt'!N45*'Haustechnikvarianten berechnen'!$AI$5</f>
        <v>21790</v>
      </c>
      <c r="O52" s="60">
        <f>'Haustechnikvarianten gesamt'!O45*'Haustechnikvarianten berechnen'!$AI$5</f>
        <v>20400</v>
      </c>
      <c r="P52" s="60">
        <f>'Haustechnikvarianten gesamt'!P45*'Haustechnikvarianten berechnen'!$AI$5</f>
        <v>0</v>
      </c>
      <c r="Q52" s="60">
        <f>'Haustechnikvarianten gesamt'!Q45*'Haustechnikvarianten berechnen'!$AI$5</f>
        <v>20000</v>
      </c>
      <c r="R52" s="60">
        <f>'Haustechnikvarianten gesamt'!R45*'Haustechnikvarianten berechnen'!$AI$5</f>
        <v>20000</v>
      </c>
      <c r="S52" s="60">
        <f>'Haustechnikvarianten gesamt'!S45*'Haustechnikvarianten berechnen'!$AI$5</f>
        <v>21320</v>
      </c>
      <c r="T52" s="60">
        <f>'Haustechnikvarianten gesamt'!T45*'Haustechnikvarianten berechnen'!$AI$5</f>
        <v>21320</v>
      </c>
      <c r="U52" s="60">
        <f>'Haustechnikvarianten gesamt'!U45*'Haustechnikvarianten berechnen'!$AI$5</f>
        <v>29890</v>
      </c>
      <c r="V52" s="60">
        <f>'Haustechnikvarianten gesamt'!V45*'Haustechnikvarianten berechnen'!$AI$5</f>
        <v>22010</v>
      </c>
      <c r="W52" s="60">
        <f>'Haustechnikvarianten gesamt'!W45*'Haustechnikvarianten berechnen'!$AI$5</f>
        <v>4900</v>
      </c>
      <c r="X52" s="60">
        <f>'Haustechnikvarianten gesamt'!X45*'Haustechnikvarianten berechnen'!$AI$5</f>
        <v>4900</v>
      </c>
      <c r="Y52" s="60">
        <f>'Haustechnikvarianten gesamt'!Y45*'Haustechnikvarianten berechnen'!$AI$5</f>
        <v>4900</v>
      </c>
      <c r="Z52" s="60">
        <f>'Haustechnikvarianten gesamt'!Z45*'Haustechnikvarianten berechnen'!$AI$5</f>
        <v>4900</v>
      </c>
      <c r="AA52" s="60">
        <f>'Haustechnikvarianten gesamt'!AA45*'Haustechnikvarianten berechnen'!$AI$5</f>
        <v>4140</v>
      </c>
      <c r="AB52" s="60">
        <f>'Haustechnikvarianten gesamt'!AB45*'Haustechnikvarianten berechnen'!$AI$5</f>
        <v>0</v>
      </c>
      <c r="AC52" s="60">
        <f>'Haustechnikvarianten gesamt'!AC45*'Haustechnikvarianten berechnen'!$AI$5</f>
        <v>0</v>
      </c>
      <c r="AD52" s="60">
        <f>'Haustechnikvarianten gesamt'!AD45*'Haustechnikvarianten berechnen'!$AI$5</f>
        <v>0</v>
      </c>
      <c r="AE52" s="60">
        <f>'Haustechnikvarianten gesamt'!AE45*'Haustechnikvarianten berechnen'!$AI$5</f>
        <v>0</v>
      </c>
      <c r="AF52" s="60">
        <f>'Haustechnikvarianten gesamt'!AF45*'Haustechnikvarianten berechnen'!$AI$5</f>
        <v>0</v>
      </c>
      <c r="AG52" s="60">
        <f>'Haustechnikvarianten gesamt'!AG45*'Haustechnikvarianten berechnen'!$AI$5</f>
        <v>0</v>
      </c>
    </row>
    <row r="53" spans="1:33" x14ac:dyDescent="0.2">
      <c r="A53" s="62" t="s">
        <v>121</v>
      </c>
      <c r="B53" s="27">
        <f>'Haustechnikvarianten gesamt'!B46*'Haustechnikvarianten berechnen'!$AI$5</f>
        <v>2400</v>
      </c>
      <c r="C53" s="27">
        <f>'Haustechnikvarianten gesamt'!C46*'Haustechnikvarianten berechnen'!$AI$5</f>
        <v>540</v>
      </c>
      <c r="D53" s="27">
        <f>'Haustechnikvarianten gesamt'!D46*'Haustechnikvarianten berechnen'!$AI$5</f>
        <v>520</v>
      </c>
      <c r="E53" s="27">
        <f>'Haustechnikvarianten gesamt'!E46*'Haustechnikvarianten berechnen'!$AI$5</f>
        <v>500</v>
      </c>
      <c r="F53" s="27">
        <f>'Haustechnikvarianten gesamt'!F46*'Haustechnikvarianten berechnen'!$AI$5</f>
        <v>360</v>
      </c>
      <c r="G53" s="27">
        <f>'Haustechnikvarianten gesamt'!G46*'Haustechnikvarianten berechnen'!$AI$5</f>
        <v>0</v>
      </c>
      <c r="H53" s="27">
        <f>'Haustechnikvarianten gesamt'!H46*'Haustechnikvarianten berechnen'!$AI$5</f>
        <v>0</v>
      </c>
      <c r="I53" s="27">
        <f>'Haustechnikvarianten gesamt'!I46*'Haustechnikvarianten berechnen'!$AI$5</f>
        <v>310</v>
      </c>
      <c r="J53" s="27">
        <f>'Haustechnikvarianten gesamt'!J46*'Haustechnikvarianten berechnen'!$AI$5</f>
        <v>310</v>
      </c>
      <c r="K53" s="27">
        <f>'Haustechnikvarianten gesamt'!K46*'Haustechnikvarianten berechnen'!$AI$5</f>
        <v>360</v>
      </c>
      <c r="L53" s="27">
        <f>'Haustechnikvarianten gesamt'!L46*'Haustechnikvarianten berechnen'!$AI$5</f>
        <v>430</v>
      </c>
      <c r="M53" s="27">
        <f>'Haustechnikvarianten gesamt'!M46*'Haustechnikvarianten berechnen'!$AI$5</f>
        <v>520</v>
      </c>
      <c r="N53" s="27">
        <f>'Haustechnikvarianten gesamt'!N46*'Haustechnikvarianten berechnen'!$AI$5</f>
        <v>510</v>
      </c>
      <c r="O53" s="27">
        <f>'Haustechnikvarianten gesamt'!O46*'Haustechnikvarianten berechnen'!$AI$5</f>
        <v>560</v>
      </c>
      <c r="P53" s="27">
        <f>'Haustechnikvarianten gesamt'!P46*'Haustechnikvarianten berechnen'!$AI$5</f>
        <v>16441</v>
      </c>
      <c r="Q53" s="27">
        <f>'Haustechnikvarianten gesamt'!Q46*'Haustechnikvarianten berechnen'!$AI$5</f>
        <v>220</v>
      </c>
      <c r="R53" s="27">
        <f>'Haustechnikvarianten gesamt'!R46*'Haustechnikvarianten berechnen'!$AI$5</f>
        <v>220</v>
      </c>
      <c r="S53" s="27">
        <f>'Haustechnikvarianten gesamt'!S46*'Haustechnikvarianten berechnen'!$AI$5</f>
        <v>130</v>
      </c>
      <c r="T53" s="27">
        <f>'Haustechnikvarianten gesamt'!T46*'Haustechnikvarianten berechnen'!$AI$5</f>
        <v>130</v>
      </c>
      <c r="U53" s="27">
        <f>'Haustechnikvarianten gesamt'!U46*'Haustechnikvarianten berechnen'!$AI$5</f>
        <v>530</v>
      </c>
      <c r="V53" s="27">
        <f>'Haustechnikvarianten gesamt'!V46*'Haustechnikvarianten berechnen'!$AI$5</f>
        <v>420</v>
      </c>
      <c r="W53" s="27">
        <f>'Haustechnikvarianten gesamt'!W46*'Haustechnikvarianten berechnen'!$AI$5</f>
        <v>5880</v>
      </c>
      <c r="X53" s="27">
        <f>'Haustechnikvarianten gesamt'!X46*'Haustechnikvarianten berechnen'!$AI$5</f>
        <v>3760</v>
      </c>
      <c r="Y53" s="27">
        <f>'Haustechnikvarianten gesamt'!Y46*'Haustechnikvarianten berechnen'!$AI$5</f>
        <v>3760</v>
      </c>
      <c r="Z53" s="27">
        <f>'Haustechnikvarianten gesamt'!Z46*'Haustechnikvarianten berechnen'!$AI$5</f>
        <v>5880</v>
      </c>
      <c r="AA53" s="27">
        <f>'Haustechnikvarianten gesamt'!AA46*'Haustechnikvarianten berechnen'!$AI$5</f>
        <v>520</v>
      </c>
      <c r="AB53" s="27">
        <f>'Haustechnikvarianten gesamt'!AB46*'Haustechnikvarianten berechnen'!$AI$5</f>
        <v>8540</v>
      </c>
      <c r="AC53" s="27">
        <f>'Haustechnikvarianten gesamt'!AC46*'Haustechnikvarianten berechnen'!$AI$5</f>
        <v>8540</v>
      </c>
      <c r="AD53" s="27">
        <f>'Haustechnikvarianten gesamt'!AD46*'Haustechnikvarianten berechnen'!$AI$5</f>
        <v>4560</v>
      </c>
      <c r="AE53" s="27">
        <f>'Haustechnikvarianten gesamt'!AE46*'Haustechnikvarianten berechnen'!$AI$5</f>
        <v>4560</v>
      </c>
      <c r="AF53" s="27">
        <f>'Haustechnikvarianten gesamt'!AF46*'Haustechnikvarianten berechnen'!$AI$5</f>
        <v>2930</v>
      </c>
      <c r="AG53" s="27">
        <f>'Haustechnikvarianten gesamt'!AG46*'Haustechnikvarianten berechnen'!$AI$5</f>
        <v>2930</v>
      </c>
    </row>
    <row r="54" spans="1:33" x14ac:dyDescent="0.2">
      <c r="A54" s="62" t="s">
        <v>56</v>
      </c>
      <c r="B54" s="27">
        <f>B52+B53</f>
        <v>21020</v>
      </c>
      <c r="C54" s="27">
        <f t="shared" ref="C54:AG54" si="15">C52+C53</f>
        <v>25660</v>
      </c>
      <c r="D54" s="27">
        <f t="shared" si="15"/>
        <v>23790</v>
      </c>
      <c r="E54" s="27">
        <f t="shared" si="15"/>
        <v>35850</v>
      </c>
      <c r="F54" s="27">
        <f t="shared" si="15"/>
        <v>26870</v>
      </c>
      <c r="G54" s="27">
        <f t="shared" si="15"/>
        <v>32010</v>
      </c>
      <c r="H54" s="27">
        <f t="shared" si="15"/>
        <v>29570</v>
      </c>
      <c r="I54" s="27">
        <f t="shared" si="15"/>
        <v>25960</v>
      </c>
      <c r="J54" s="27">
        <f t="shared" si="15"/>
        <v>25960</v>
      </c>
      <c r="K54" s="27">
        <f t="shared" si="15"/>
        <v>6450</v>
      </c>
      <c r="L54" s="27">
        <f t="shared" si="15"/>
        <v>10960</v>
      </c>
      <c r="M54" s="27">
        <f t="shared" si="15"/>
        <v>6750</v>
      </c>
      <c r="N54" s="27">
        <f t="shared" si="15"/>
        <v>22300</v>
      </c>
      <c r="O54" s="27">
        <f t="shared" si="15"/>
        <v>20960</v>
      </c>
      <c r="P54" s="27">
        <f t="shared" si="15"/>
        <v>16441</v>
      </c>
      <c r="Q54" s="27">
        <f t="shared" si="15"/>
        <v>20220</v>
      </c>
      <c r="R54" s="27">
        <f t="shared" si="15"/>
        <v>20220</v>
      </c>
      <c r="S54" s="27">
        <f t="shared" si="15"/>
        <v>21450</v>
      </c>
      <c r="T54" s="27">
        <f t="shared" si="15"/>
        <v>21450</v>
      </c>
      <c r="U54" s="27">
        <f t="shared" si="15"/>
        <v>30420</v>
      </c>
      <c r="V54" s="27">
        <f t="shared" si="15"/>
        <v>22430</v>
      </c>
      <c r="W54" s="27">
        <f t="shared" si="15"/>
        <v>10780</v>
      </c>
      <c r="X54" s="27">
        <f t="shared" si="15"/>
        <v>8660</v>
      </c>
      <c r="Y54" s="27">
        <f t="shared" si="15"/>
        <v>8660</v>
      </c>
      <c r="Z54" s="27">
        <f t="shared" si="15"/>
        <v>10780</v>
      </c>
      <c r="AA54" s="27">
        <f t="shared" si="15"/>
        <v>4660</v>
      </c>
      <c r="AB54" s="27">
        <f t="shared" si="15"/>
        <v>8540</v>
      </c>
      <c r="AC54" s="27">
        <f t="shared" si="15"/>
        <v>8540</v>
      </c>
      <c r="AD54" s="27">
        <f t="shared" si="15"/>
        <v>4560</v>
      </c>
      <c r="AE54" s="27">
        <f t="shared" si="15"/>
        <v>4560</v>
      </c>
      <c r="AF54" s="27">
        <f t="shared" si="15"/>
        <v>2930</v>
      </c>
      <c r="AG54" s="27">
        <f t="shared" si="15"/>
        <v>2930</v>
      </c>
    </row>
    <row r="55" spans="1:33" x14ac:dyDescent="0.2">
      <c r="A55" s="62" t="s">
        <v>115</v>
      </c>
      <c r="B55" s="28">
        <f>10*ROUND((B52*$B$15+B53*$B$13)/1000,0)</f>
        <v>5620</v>
      </c>
      <c r="C55" s="28">
        <f>10*ROUND((C52*$B$8+C53*$B$13)/1000,0)</f>
        <v>3230</v>
      </c>
      <c r="D55" s="28">
        <f>10*ROUND((D52*$B$8+D53*$B$13)/1000,0)</f>
        <v>3000</v>
      </c>
      <c r="E55" s="28">
        <f>10*ROUND((E52*$E$10+E53*$B$13)/1000,0)</f>
        <v>2060</v>
      </c>
      <c r="F55" s="28">
        <f>10*ROUND((F52*$E$11+F53*$B$13)/1000,0)</f>
        <v>1770</v>
      </c>
      <c r="G55" s="28">
        <f>10*ROUND((G52*$B$8+G53*$B$13)/1000,0)</f>
        <v>3840</v>
      </c>
      <c r="H55" s="28">
        <f>10*ROUND((H52*$B$9+H53*$B$13)/1000,0)</f>
        <v>3550</v>
      </c>
      <c r="I55" s="28">
        <f>10*ROUND((I52*$B$12+I53*$B$13)/1000,0)</f>
        <v>2560</v>
      </c>
      <c r="J55" s="28">
        <f>10*ROUND((J52*$B$12+J53*$B$13)/1000,0)</f>
        <v>2560</v>
      </c>
      <c r="K55" s="28">
        <f>10*ROUND((K52*$B$14+K53*$B$13)/1000,0)</f>
        <v>1970</v>
      </c>
      <c r="L55" s="28">
        <f>10*ROUND((L52*$B$14+L53*$B$13)/1000,0)</f>
        <v>3330</v>
      </c>
      <c r="M55" s="28">
        <f>10*ROUND((M52*$B$14+M53*$B$13)/1000,0)</f>
        <v>2080</v>
      </c>
      <c r="N55" s="28">
        <f>10*ROUND((N52*$B$8+N53*$B$13)/1000,0)</f>
        <v>2820</v>
      </c>
      <c r="O55" s="28">
        <f>10*ROUND((O52*$B$8+O53*$B$13)/1000,0)</f>
        <v>2670</v>
      </c>
      <c r="P55" s="28">
        <f>10*ROUND((P52*$E$10+P53*$B$13)/1000,0)</f>
        <v>6580</v>
      </c>
      <c r="Q55" s="28">
        <f>10*ROUND((Q52*$B$8+Q53*$B$13)/1000,0)</f>
        <v>2490</v>
      </c>
      <c r="R55" s="28">
        <f>10*ROUND((R52*$B$8+R53*$B$13)/1000,0)</f>
        <v>2490</v>
      </c>
      <c r="S55" s="28">
        <f>10*ROUND((S52*$E$11+S53*$B$13)/1000,0)</f>
        <v>1360</v>
      </c>
      <c r="T55" s="28">
        <f>10*ROUND((T52*$E$11+T53*$B$13)/1000,0)</f>
        <v>1360</v>
      </c>
      <c r="U55" s="28">
        <f>10*ROUND((U52*$E$10+U53*$B$13)/1000,0)</f>
        <v>1790</v>
      </c>
      <c r="V55" s="28">
        <f>10*ROUND((V52*$E$11+V53*$B$13)/1000,0)</f>
        <v>1520</v>
      </c>
      <c r="W55" s="28">
        <f>10*ROUND((W52*$B$8+W53*$B$14*1.02)/1000,0)</f>
        <v>2390</v>
      </c>
      <c r="X55" s="28">
        <f>10*ROUND((X52*$B$8+X53*$B$13)/1000,0)</f>
        <v>2090</v>
      </c>
      <c r="Y55" s="28">
        <f>10*ROUND((Y52*$B$8+Y53*$B$13)/1000,0)</f>
        <v>2090</v>
      </c>
      <c r="Z55" s="28">
        <f>10*ROUND((Z52*$E$11+Z53*$B$14*1.02)/1000,0)</f>
        <v>2100</v>
      </c>
      <c r="AA55" s="28">
        <f t="shared" ref="AA55:AG55" si="16">10*ROUND((AA52*$B$14+AA53*$B$13)/1000,0)</f>
        <v>1450</v>
      </c>
      <c r="AB55" s="28">
        <f t="shared" si="16"/>
        <v>3420</v>
      </c>
      <c r="AC55" s="28">
        <f t="shared" si="16"/>
        <v>3420</v>
      </c>
      <c r="AD55" s="28">
        <f t="shared" si="16"/>
        <v>1820</v>
      </c>
      <c r="AE55" s="28">
        <f t="shared" si="16"/>
        <v>1820</v>
      </c>
      <c r="AF55" s="28">
        <f t="shared" si="16"/>
        <v>1170</v>
      </c>
      <c r="AG55" s="28">
        <f t="shared" si="16"/>
        <v>1170</v>
      </c>
    </row>
    <row r="56" spans="1:33" x14ac:dyDescent="0.2">
      <c r="A56" s="62" t="s">
        <v>116</v>
      </c>
      <c r="B56" s="114">
        <f>'Haustechnikvarianten gesamt'!B49</f>
        <v>0</v>
      </c>
      <c r="C56" s="114">
        <f>'Haustechnikvarianten gesamt'!C49</f>
        <v>0</v>
      </c>
      <c r="D56" s="114">
        <f>'Haustechnikvarianten gesamt'!D49</f>
        <v>0</v>
      </c>
      <c r="E56" s="114">
        <f>'Haustechnikvarianten gesamt'!E49</f>
        <v>0</v>
      </c>
      <c r="F56" s="114">
        <f>'Haustechnikvarianten gesamt'!F49</f>
        <v>0</v>
      </c>
      <c r="G56" s="114">
        <f>IF(('Haustechnikvarianten gesamt'!G49*$AI$5&gt;7000),7000,'Haustechnikvarianten gesamt'!G49*$AI$5)</f>
        <v>6750</v>
      </c>
      <c r="H56" s="114">
        <f>IF(('Haustechnikvarianten gesamt'!H49*$AI$5&gt;6500),6500,'Haustechnikvarianten gesamt'!H49*$AI$5)</f>
        <v>6390</v>
      </c>
      <c r="I56" s="114">
        <f>'Haustechnikvarianten gesamt'!I49*$AI$6</f>
        <v>0</v>
      </c>
      <c r="J56" s="114">
        <f>'Haustechnikvarianten gesamt'!J49*$AI$6</f>
        <v>0</v>
      </c>
      <c r="K56" s="114">
        <f>'Haustechnikvarianten gesamt'!K49*$AI$6</f>
        <v>0</v>
      </c>
      <c r="L56" s="114">
        <f>'Haustechnikvarianten gesamt'!L49*$AI$6</f>
        <v>0</v>
      </c>
      <c r="M56" s="114">
        <f>'Haustechnikvarianten gesamt'!M49*$AI$6</f>
        <v>0</v>
      </c>
      <c r="N56" s="114">
        <f>'Haustechnikvarianten gesamt'!N49*$AI$6</f>
        <v>0</v>
      </c>
      <c r="O56" s="114">
        <f>'Haustechnikvarianten gesamt'!O49*$AI$6</f>
        <v>0</v>
      </c>
      <c r="P56" s="114">
        <f>'Haustechnikvarianten gesamt'!P49*$AI$6</f>
        <v>2150</v>
      </c>
      <c r="Q56" s="114">
        <f>'Haustechnikvarianten gesamt'!Q49*$AI$6</f>
        <v>3130</v>
      </c>
      <c r="R56" s="114">
        <f>'Haustechnikvarianten gesamt'!R49*$AI$6</f>
        <v>3130</v>
      </c>
      <c r="S56" s="114">
        <f>'Haustechnikvarianten gesamt'!S49*$AI$6</f>
        <v>3190</v>
      </c>
      <c r="T56" s="114">
        <f>'Haustechnikvarianten gesamt'!T49*$AI$6</f>
        <v>3190</v>
      </c>
      <c r="U56" s="114">
        <f>'Haustechnikvarianten gesamt'!U49*$AI$6</f>
        <v>0</v>
      </c>
      <c r="V56" s="114">
        <f>'Haustechnikvarianten gesamt'!V49*$AI$6</f>
        <v>0</v>
      </c>
      <c r="W56" s="114">
        <f>'Haustechnikvarianten gesamt'!W49*$AI$6</f>
        <v>0</v>
      </c>
      <c r="X56" s="114">
        <f>'Haustechnikvarianten gesamt'!X49*$AI$6</f>
        <v>2710</v>
      </c>
      <c r="Y56" s="114">
        <f>'Haustechnikvarianten gesamt'!Y49*$AI$6</f>
        <v>2710</v>
      </c>
      <c r="Z56" s="114">
        <f>'Haustechnikvarianten gesamt'!Z49*$AI$6</f>
        <v>0</v>
      </c>
      <c r="AA56" s="114">
        <f>'Haustechnikvarianten gesamt'!AA49*$AI$6</f>
        <v>0</v>
      </c>
      <c r="AB56" s="114">
        <f>'Haustechnikvarianten gesamt'!AB49*$AI$6</f>
        <v>2360</v>
      </c>
      <c r="AC56" s="114">
        <f>'Haustechnikvarianten gesamt'!AC49*$AI$6</f>
        <v>2360</v>
      </c>
      <c r="AD56" s="114">
        <f>'Haustechnikvarianten gesamt'!AD49*$AI$6</f>
        <v>2600</v>
      </c>
      <c r="AE56" s="114">
        <f>'Haustechnikvarianten gesamt'!AE49*$AI$6</f>
        <v>2600</v>
      </c>
      <c r="AF56" s="114">
        <f>'Haustechnikvarianten gesamt'!AF49*$AI$6</f>
        <v>3060</v>
      </c>
      <c r="AG56" s="114">
        <f>'Haustechnikvarianten gesamt'!AG49*$AI$6</f>
        <v>3060</v>
      </c>
    </row>
    <row r="57" spans="1:33" x14ac:dyDescent="0.2">
      <c r="A57" s="62" t="s">
        <v>123</v>
      </c>
      <c r="B57" s="114">
        <f>'Haustechnikvarianten gesamt'!B50</f>
        <v>0</v>
      </c>
      <c r="C57" s="114">
        <f>'Haustechnikvarianten gesamt'!C50</f>
        <v>0</v>
      </c>
      <c r="D57" s="114">
        <f>'Haustechnikvarianten gesamt'!D50</f>
        <v>0</v>
      </c>
      <c r="E57" s="114">
        <f>'Haustechnikvarianten gesamt'!E50</f>
        <v>0</v>
      </c>
      <c r="F57" s="114">
        <f>'Haustechnikvarianten gesamt'!F50</f>
        <v>0</v>
      </c>
      <c r="G57" s="114">
        <f>MIN((0.8*$B$18),(0.9*G56),10*ROUND((2040/(6750*4000)*G56*$B$18)/10,0))</f>
        <v>2040</v>
      </c>
      <c r="H57" s="114">
        <f>MIN((0.8*$B$18),(0.9*H56),10*ROUND((2320/(6390*4000)*H56*$B$18)/10,0))</f>
        <v>2320</v>
      </c>
      <c r="I57" s="114">
        <f>'Haustechnikvarianten gesamt'!I50*$AI$6</f>
        <v>0</v>
      </c>
      <c r="J57" s="114">
        <f>'Haustechnikvarianten gesamt'!J50*$AI$6</f>
        <v>0</v>
      </c>
      <c r="K57" s="114">
        <f>'Haustechnikvarianten gesamt'!K50*$AI$6</f>
        <v>0</v>
      </c>
      <c r="L57" s="114">
        <f>'Haustechnikvarianten gesamt'!L50*$AI$6</f>
        <v>0</v>
      </c>
      <c r="M57" s="114">
        <f>'Haustechnikvarianten gesamt'!M50*$AI$6</f>
        <v>0</v>
      </c>
      <c r="N57" s="114">
        <f>'Haustechnikvarianten gesamt'!N50*$AI$6</f>
        <v>0</v>
      </c>
      <c r="O57" s="114">
        <f>'Haustechnikvarianten gesamt'!O50*$AI$6</f>
        <v>0</v>
      </c>
      <c r="P57" s="114">
        <f>'Haustechnikvarianten gesamt'!P50*$AI$6</f>
        <v>650</v>
      </c>
      <c r="Q57" s="114">
        <f>'Haustechnikvarianten gesamt'!Q50*$AI$6</f>
        <v>940</v>
      </c>
      <c r="R57" s="114">
        <f>'Haustechnikvarianten gesamt'!R50*$AI$6</f>
        <v>1880</v>
      </c>
      <c r="S57" s="114">
        <f>'Haustechnikvarianten gesamt'!S50*$AI$6</f>
        <v>960</v>
      </c>
      <c r="T57" s="114">
        <f>'Haustechnikvarianten gesamt'!T50*$AI$6</f>
        <v>1920</v>
      </c>
      <c r="U57" s="114">
        <f>'Haustechnikvarianten gesamt'!U50*$AI$6</f>
        <v>0</v>
      </c>
      <c r="V57" s="114">
        <f>'Haustechnikvarianten gesamt'!V50*$AI$6</f>
        <v>0</v>
      </c>
      <c r="W57" s="114">
        <f>'Haustechnikvarianten gesamt'!W50*$AI$6</f>
        <v>0</v>
      </c>
      <c r="X57" s="114">
        <f>'Haustechnikvarianten gesamt'!X50*$AI$6</f>
        <v>810</v>
      </c>
      <c r="Y57" s="114">
        <f>'Haustechnikvarianten gesamt'!Y50*$AI$6</f>
        <v>1620</v>
      </c>
      <c r="Z57" s="114">
        <f>'Haustechnikvarianten gesamt'!Z50*$AI$6</f>
        <v>0</v>
      </c>
      <c r="AA57" s="114">
        <f>'Haustechnikvarianten gesamt'!AA50*$AI$6</f>
        <v>0</v>
      </c>
      <c r="AB57" s="114">
        <f>'Haustechnikvarianten gesamt'!AB50*$AI$6</f>
        <v>710</v>
      </c>
      <c r="AC57" s="114">
        <f>'Haustechnikvarianten gesamt'!AC50*$AI$6</f>
        <v>1420</v>
      </c>
      <c r="AD57" s="114">
        <f>'Haustechnikvarianten gesamt'!AD50*$AI$6</f>
        <v>780</v>
      </c>
      <c r="AE57" s="114">
        <f>'Haustechnikvarianten gesamt'!AE50*$AI$6</f>
        <v>1560</v>
      </c>
      <c r="AF57" s="114">
        <f>'Haustechnikvarianten gesamt'!AF50*$AI$6</f>
        <v>920</v>
      </c>
      <c r="AG57" s="114">
        <f>'Haustechnikvarianten gesamt'!AG50*$AI$6</f>
        <v>1830</v>
      </c>
    </row>
    <row r="58" spans="1:33" x14ac:dyDescent="0.2">
      <c r="A58" s="62" t="s">
        <v>117</v>
      </c>
      <c r="B58" s="64">
        <f>10*ROUND(((B56-B57)*$B$16/100+B57*$B$13/100)/10,0)</f>
        <v>0</v>
      </c>
      <c r="C58" s="64">
        <f t="shared" ref="C58:F58" si="17">10*ROUND(((C56-C57)*$B$16/100+C57*$B$13/100)/10,0)</f>
        <v>0</v>
      </c>
      <c r="D58" s="64">
        <f t="shared" si="17"/>
        <v>0</v>
      </c>
      <c r="E58" s="64">
        <f t="shared" si="17"/>
        <v>0</v>
      </c>
      <c r="F58" s="64">
        <f t="shared" si="17"/>
        <v>0</v>
      </c>
      <c r="G58" s="64">
        <f>10*ROUND(((G56-G57)*0.04+G57*$B$13/100)/10,0)</f>
        <v>1000</v>
      </c>
      <c r="H58" s="64">
        <f>10*ROUND(((H56-H57)*0.04+H57*$B$13/100)/10,0)</f>
        <v>1090</v>
      </c>
      <c r="I58" s="64">
        <f t="shared" ref="I58" si="18">10*ROUND(((I56-I57)*$B$16/100+I57*$B$13/100)/10,0)</f>
        <v>0</v>
      </c>
      <c r="J58" s="64">
        <f t="shared" ref="J58" si="19">10*ROUND(((J56-J57)*$B$16/100+J57*$B$13/100)/10,0)</f>
        <v>0</v>
      </c>
      <c r="K58" s="64">
        <f t="shared" ref="K58" si="20">10*ROUND(((K56-K57)*$B$16/100+K57*$B$13/100)/10,0)</f>
        <v>0</v>
      </c>
      <c r="L58" s="64">
        <f t="shared" ref="L58" si="21">10*ROUND(((L56-L57)*$B$16/100+L57*$B$13/100)/10,0)</f>
        <v>0</v>
      </c>
      <c r="M58" s="64">
        <f t="shared" ref="M58" si="22">10*ROUND(((M56-M57)*$B$16/100+M57*$B$13/100)/10,0)</f>
        <v>0</v>
      </c>
      <c r="N58" s="64">
        <f t="shared" ref="N58" si="23">10*ROUND(((N56-N57)*$B$16/100+N57*$B$13/100)/10,0)</f>
        <v>0</v>
      </c>
      <c r="O58" s="64">
        <f t="shared" ref="O58" si="24">10*ROUND(((O56-O57)*$B$16/100+O57*$B$13/100)/10,0)</f>
        <v>0</v>
      </c>
      <c r="P58" s="64">
        <f t="shared" ref="P58" si="25">10*ROUND(((P56-P57)*$B$16/100+P57*$B$13/100)/10,0)</f>
        <v>380</v>
      </c>
      <c r="Q58" s="64">
        <f t="shared" ref="Q58" si="26">10*ROUND(((Q56-Q57)*$B$16/100+Q57*$B$13/100)/10,0)</f>
        <v>560</v>
      </c>
      <c r="R58" s="64">
        <f t="shared" ref="R58" si="27">10*ROUND(((R56-R57)*$B$16/100+R57*$B$13/100)/10,0)</f>
        <v>850</v>
      </c>
      <c r="S58" s="64">
        <f t="shared" ref="S58" si="28">10*ROUND(((S56-S57)*$B$16/100+S57*$B$13/100)/10,0)</f>
        <v>570</v>
      </c>
      <c r="T58" s="64">
        <f t="shared" ref="T58" si="29">10*ROUND(((T56-T57)*$B$16/100+T57*$B$13/100)/10,0)</f>
        <v>870</v>
      </c>
      <c r="U58" s="64">
        <f t="shared" ref="U58" si="30">10*ROUND(((U56-U57)*$B$16/100+U57*$B$13/100)/10,0)</f>
        <v>0</v>
      </c>
      <c r="V58" s="64">
        <f t="shared" ref="V58" si="31">10*ROUND(((V56-V57)*$B$16/100+V57*$B$13/100)/10,0)</f>
        <v>0</v>
      </c>
      <c r="W58" s="64">
        <f t="shared" ref="W58" si="32">10*ROUND(((W56-W57)*$B$16/100+W57*$B$13/100)/10,0)</f>
        <v>0</v>
      </c>
      <c r="X58" s="64">
        <f t="shared" ref="X58" si="33">10*ROUND(((X56-X57)*$B$16/100+X57*$B$13/100)/10,0)</f>
        <v>480</v>
      </c>
      <c r="Y58" s="64">
        <f t="shared" ref="Y58:Z58" si="34">10*ROUND(((Y56-Y57)*$B$16/100+Y57*$B$13/100)/10,0)</f>
        <v>740</v>
      </c>
      <c r="Z58" s="64">
        <f t="shared" si="34"/>
        <v>0</v>
      </c>
      <c r="AA58" s="64">
        <f t="shared" ref="AA58" si="35">10*ROUND(((AA56-AA57)*$B$16/100+AA57*$B$13/100)/10,0)</f>
        <v>0</v>
      </c>
      <c r="AB58" s="64">
        <f t="shared" ref="AB58" si="36">10*ROUND(((AB56-AB57)*$B$16/100+AB57*$B$13/100)/10,0)</f>
        <v>420</v>
      </c>
      <c r="AC58" s="64">
        <f t="shared" ref="AC58" si="37">10*ROUND(((AC56-AC57)*$B$16/100+AC57*$B$13/100)/10,0)</f>
        <v>650</v>
      </c>
      <c r="AD58" s="64">
        <f t="shared" ref="AD58" si="38">10*ROUND(((AD56-AD57)*$B$16/100+AD57*$B$13/100)/10,0)</f>
        <v>460</v>
      </c>
      <c r="AE58" s="64">
        <f t="shared" ref="AE58" si="39">10*ROUND(((AE56-AE57)*$B$16/100+AE57*$B$13/100)/10,0)</f>
        <v>710</v>
      </c>
      <c r="AF58" s="64">
        <f t="shared" ref="AF58" si="40">10*ROUND(((AF56-AF57)*$B$16/100+AF57*$B$13/100)/10,0)</f>
        <v>540</v>
      </c>
      <c r="AG58" s="64">
        <f t="shared" ref="AG58" si="41">10*ROUND(((AG56-AG57)*$B$16/100+AG57*$B$13/100)/10,0)</f>
        <v>830</v>
      </c>
    </row>
    <row r="59" spans="1:33" x14ac:dyDescent="0.2">
      <c r="A59" s="29" t="s">
        <v>118</v>
      </c>
      <c r="B59" s="116">
        <v>0</v>
      </c>
      <c r="C59" s="116">
        <v>200</v>
      </c>
      <c r="D59" s="116">
        <v>200</v>
      </c>
      <c r="E59" s="116">
        <v>400</v>
      </c>
      <c r="F59" s="116">
        <v>400</v>
      </c>
      <c r="G59" s="116">
        <v>400</v>
      </c>
      <c r="H59" s="116">
        <v>400</v>
      </c>
      <c r="I59" s="116">
        <v>0</v>
      </c>
      <c r="J59" s="116">
        <v>0</v>
      </c>
      <c r="K59" s="116">
        <v>50</v>
      </c>
      <c r="L59" s="116">
        <v>50</v>
      </c>
      <c r="M59" s="116">
        <v>50</v>
      </c>
      <c r="N59" s="116">
        <v>200</v>
      </c>
      <c r="O59" s="116">
        <v>200</v>
      </c>
      <c r="P59" s="116">
        <v>150</v>
      </c>
      <c r="Q59" s="116">
        <v>350</v>
      </c>
      <c r="R59" s="116">
        <v>480</v>
      </c>
      <c r="S59" s="116">
        <v>550</v>
      </c>
      <c r="T59" s="116">
        <v>680</v>
      </c>
      <c r="U59" s="116">
        <v>400</v>
      </c>
      <c r="V59" s="116">
        <v>400</v>
      </c>
      <c r="W59" s="116">
        <v>250</v>
      </c>
      <c r="X59" s="116">
        <v>400</v>
      </c>
      <c r="Y59" s="116">
        <v>530</v>
      </c>
      <c r="Z59" s="116">
        <v>450</v>
      </c>
      <c r="AA59" s="116">
        <v>100</v>
      </c>
      <c r="AB59" s="116">
        <v>200</v>
      </c>
      <c r="AC59" s="116">
        <v>330</v>
      </c>
      <c r="AD59" s="116">
        <v>200</v>
      </c>
      <c r="AE59" s="116">
        <v>330</v>
      </c>
      <c r="AF59" s="116">
        <v>250</v>
      </c>
      <c r="AG59" s="116">
        <v>380</v>
      </c>
    </row>
    <row r="60" spans="1:33" x14ac:dyDescent="0.2">
      <c r="A60" s="69" t="s">
        <v>119</v>
      </c>
      <c r="B60" s="70">
        <f>B55+B59-B58</f>
        <v>5620</v>
      </c>
      <c r="C60" s="70">
        <f>C55+C59-C58</f>
        <v>3430</v>
      </c>
      <c r="D60" s="70">
        <f t="shared" ref="D60:AG60" si="42">D55+D59-D58</f>
        <v>3200</v>
      </c>
      <c r="E60" s="70">
        <f t="shared" si="42"/>
        <v>2460</v>
      </c>
      <c r="F60" s="70">
        <f t="shared" si="42"/>
        <v>2170</v>
      </c>
      <c r="G60" s="70">
        <f t="shared" si="42"/>
        <v>3240</v>
      </c>
      <c r="H60" s="70">
        <f t="shared" si="42"/>
        <v>2860</v>
      </c>
      <c r="I60" s="70">
        <f t="shared" si="42"/>
        <v>2560</v>
      </c>
      <c r="J60" s="70">
        <f t="shared" si="42"/>
        <v>2560</v>
      </c>
      <c r="K60" s="70">
        <f t="shared" si="42"/>
        <v>2020</v>
      </c>
      <c r="L60" s="70">
        <f t="shared" si="42"/>
        <v>3380</v>
      </c>
      <c r="M60" s="70">
        <f t="shared" si="42"/>
        <v>2130</v>
      </c>
      <c r="N60" s="70">
        <f t="shared" si="42"/>
        <v>3020</v>
      </c>
      <c r="O60" s="70">
        <f>O55+O59-O58</f>
        <v>2870</v>
      </c>
      <c r="P60" s="70">
        <f>P55+P59-P58</f>
        <v>6350</v>
      </c>
      <c r="Q60" s="70">
        <f>Q55+Q59-Q58</f>
        <v>2280</v>
      </c>
      <c r="R60" s="70">
        <f>R55+R59-R58</f>
        <v>2120</v>
      </c>
      <c r="S60" s="70">
        <f t="shared" si="42"/>
        <v>1340</v>
      </c>
      <c r="T60" s="70">
        <f t="shared" si="42"/>
        <v>1170</v>
      </c>
      <c r="U60" s="70">
        <f t="shared" si="42"/>
        <v>2190</v>
      </c>
      <c r="V60" s="70">
        <f t="shared" si="42"/>
        <v>1920</v>
      </c>
      <c r="W60" s="70">
        <f t="shared" si="42"/>
        <v>2640</v>
      </c>
      <c r="X60" s="70">
        <f t="shared" si="42"/>
        <v>2010</v>
      </c>
      <c r="Y60" s="70">
        <f t="shared" si="42"/>
        <v>1880</v>
      </c>
      <c r="Z60" s="70">
        <f t="shared" si="42"/>
        <v>2550</v>
      </c>
      <c r="AA60" s="70">
        <f t="shared" si="42"/>
        <v>1550</v>
      </c>
      <c r="AB60" s="70">
        <f t="shared" si="42"/>
        <v>3200</v>
      </c>
      <c r="AC60" s="70">
        <f t="shared" si="42"/>
        <v>3100</v>
      </c>
      <c r="AD60" s="70">
        <f t="shared" si="42"/>
        <v>1560</v>
      </c>
      <c r="AE60" s="70">
        <f t="shared" si="42"/>
        <v>1440</v>
      </c>
      <c r="AF60" s="70">
        <f t="shared" si="42"/>
        <v>880</v>
      </c>
      <c r="AG60" s="70">
        <f t="shared" si="42"/>
        <v>720</v>
      </c>
    </row>
    <row r="61" spans="1:33" x14ac:dyDescent="0.2">
      <c r="A61" s="54" t="s">
        <v>2</v>
      </c>
      <c r="B61" s="71">
        <v>0</v>
      </c>
      <c r="C61" s="71">
        <f t="shared" ref="C61:AF61" si="43">-C51-20*(C60-$B$60)</f>
        <v>15800</v>
      </c>
      <c r="D61" s="71">
        <f t="shared" si="43"/>
        <v>20400</v>
      </c>
      <c r="E61" s="71">
        <f t="shared" si="43"/>
        <v>41200</v>
      </c>
      <c r="F61" s="71">
        <f t="shared" si="43"/>
        <v>40000</v>
      </c>
      <c r="G61" s="71">
        <f t="shared" si="43"/>
        <v>-2000</v>
      </c>
      <c r="H61" s="71">
        <f t="shared" si="43"/>
        <v>14200</v>
      </c>
      <c r="I61" s="71">
        <f t="shared" si="43"/>
        <v>54000</v>
      </c>
      <c r="J61" s="71">
        <f t="shared" si="43"/>
        <v>54000</v>
      </c>
      <c r="K61" s="71">
        <f t="shared" si="43"/>
        <v>52000</v>
      </c>
      <c r="L61" s="71">
        <f t="shared" si="43"/>
        <v>27800</v>
      </c>
      <c r="M61" s="71">
        <f t="shared" si="43"/>
        <v>36600</v>
      </c>
      <c r="N61" s="71">
        <f t="shared" si="43"/>
        <v>23200</v>
      </c>
      <c r="O61" s="71">
        <f t="shared" si="43"/>
        <v>29400</v>
      </c>
      <c r="P61" s="71">
        <f t="shared" si="43"/>
        <v>-35600</v>
      </c>
      <c r="Q61" s="71">
        <f t="shared" si="43"/>
        <v>25800</v>
      </c>
      <c r="R61" s="71">
        <f t="shared" si="43"/>
        <v>24000</v>
      </c>
      <c r="S61" s="71">
        <f t="shared" si="43"/>
        <v>49600</v>
      </c>
      <c r="T61" s="71">
        <f t="shared" si="43"/>
        <v>48000</v>
      </c>
      <c r="U61" s="71">
        <f t="shared" si="43"/>
        <v>39600</v>
      </c>
      <c r="V61" s="71">
        <f t="shared" si="43"/>
        <v>37000</v>
      </c>
      <c r="W61" s="71">
        <f t="shared" si="43"/>
        <v>30600</v>
      </c>
      <c r="X61" s="71">
        <f t="shared" si="43"/>
        <v>33200</v>
      </c>
      <c r="Y61" s="71">
        <f t="shared" si="43"/>
        <v>30800</v>
      </c>
      <c r="Z61" s="71">
        <f t="shared" si="43"/>
        <v>27400</v>
      </c>
      <c r="AA61" s="71">
        <f t="shared" si="43"/>
        <v>36100</v>
      </c>
      <c r="AB61" s="71">
        <f t="shared" si="43"/>
        <v>21400</v>
      </c>
      <c r="AC61" s="71">
        <f t="shared" si="43"/>
        <v>18400</v>
      </c>
      <c r="AD61" s="71">
        <f t="shared" si="43"/>
        <v>38000</v>
      </c>
      <c r="AE61" s="71">
        <f t="shared" si="43"/>
        <v>35400</v>
      </c>
      <c r="AF61" s="71">
        <f t="shared" si="43"/>
        <v>39500</v>
      </c>
      <c r="AG61" s="71">
        <f>-AG51-20*(AG60-$B$60)</f>
        <v>37700</v>
      </c>
    </row>
    <row r="62" spans="1:33" x14ac:dyDescent="0.2">
      <c r="A62" s="54" t="s">
        <v>54</v>
      </c>
      <c r="B62" s="128"/>
      <c r="C62" s="26">
        <f>IF((($B$60-C60)=0),IF((C51&lt;=0),"sofort","nie"),IF((C51/($B$60-C60)&lt;=0),IF((C51&lt;=0),"sofort","nie"),C51/($B$60-C60)))</f>
        <v>12.785388127853881</v>
      </c>
      <c r="D62" s="26">
        <f t="shared" ref="D62:AG62" si="44">IF((($B$60-D60)=0),IF((D51&lt;=0),"sofort","nie"),IF((D51/($B$60-D60)&lt;=0),IF((D51&lt;=0),"sofort","nie"),D51/($B$60-D60)))</f>
        <v>11.570247933884298</v>
      </c>
      <c r="E62" s="26">
        <f t="shared" si="44"/>
        <v>6.962025316455696</v>
      </c>
      <c r="F62" s="26">
        <f t="shared" si="44"/>
        <v>8.4057971014492754</v>
      </c>
      <c r="G62" s="26">
        <f t="shared" si="44"/>
        <v>20.840336134453782</v>
      </c>
      <c r="H62" s="26">
        <f t="shared" si="44"/>
        <v>14.855072463768115</v>
      </c>
      <c r="I62" s="26">
        <f t="shared" si="44"/>
        <v>2.3529411764705883</v>
      </c>
      <c r="J62" s="26">
        <f t="shared" si="44"/>
        <v>2.3529411764705883</v>
      </c>
      <c r="K62" s="26">
        <f t="shared" si="44"/>
        <v>5.5555555555555554</v>
      </c>
      <c r="L62" s="26">
        <f t="shared" si="44"/>
        <v>7.5892857142857144</v>
      </c>
      <c r="M62" s="26">
        <f t="shared" si="44"/>
        <v>9.5128939828080235</v>
      </c>
      <c r="N62" s="26">
        <f t="shared" si="44"/>
        <v>11.076923076923077</v>
      </c>
      <c r="O62" s="26">
        <f t="shared" si="44"/>
        <v>9.3090909090909086</v>
      </c>
      <c r="P62" s="26" t="str">
        <f t="shared" si="44"/>
        <v>nie</v>
      </c>
      <c r="Q62" s="26">
        <f t="shared" si="44"/>
        <v>12.275449101796408</v>
      </c>
      <c r="R62" s="26">
        <f t="shared" si="44"/>
        <v>13.142857142857142</v>
      </c>
      <c r="S62" s="26">
        <f t="shared" si="44"/>
        <v>8.4112149532710276</v>
      </c>
      <c r="T62" s="26">
        <f t="shared" si="44"/>
        <v>9.213483146067416</v>
      </c>
      <c r="U62" s="26">
        <f t="shared" si="44"/>
        <v>8.4548104956268215</v>
      </c>
      <c r="V62" s="26">
        <f t="shared" si="44"/>
        <v>10</v>
      </c>
      <c r="W62" s="26">
        <f t="shared" si="44"/>
        <v>9.7315436241610733</v>
      </c>
      <c r="X62" s="26">
        <f t="shared" si="44"/>
        <v>10.803324099722992</v>
      </c>
      <c r="Y62" s="26">
        <f t="shared" si="44"/>
        <v>11.764705882352942</v>
      </c>
      <c r="Z62" s="26">
        <f t="shared" si="44"/>
        <v>11.074918566775244</v>
      </c>
      <c r="AA62" s="26">
        <f t="shared" si="44"/>
        <v>11.13022113022113</v>
      </c>
      <c r="AB62" s="26">
        <f t="shared" si="44"/>
        <v>11.15702479338843</v>
      </c>
      <c r="AC62" s="26">
        <f t="shared" si="44"/>
        <v>12.698412698412698</v>
      </c>
      <c r="AD62" s="26">
        <f t="shared" si="44"/>
        <v>10.64039408866995</v>
      </c>
      <c r="AE62" s="26">
        <f t="shared" si="44"/>
        <v>11.5311004784689</v>
      </c>
      <c r="AF62" s="26">
        <f t="shared" si="44"/>
        <v>11.666666666666666</v>
      </c>
      <c r="AG62" s="26">
        <f t="shared" si="44"/>
        <v>12.306122448979592</v>
      </c>
    </row>
    <row r="63" spans="1:33" x14ac:dyDescent="0.2">
      <c r="A63" s="54" t="s">
        <v>55</v>
      </c>
      <c r="B63" s="73">
        <f>ROUND((B52*$I$14+B53*$I$14)/1000,1)</f>
        <v>11.8</v>
      </c>
      <c r="C63" s="73">
        <f>ROUND((C52*$I$8+C53*$I$14)/1000,1)</f>
        <v>6.3</v>
      </c>
      <c r="D63" s="73">
        <f>ROUND((D52*$I$8+(D53-D56)*$I$14)/1000,1)</f>
        <v>5.9</v>
      </c>
      <c r="E63" s="73">
        <f>ROUND((E52*$I$10+(E53-E56)*$I$14)/1000,1)</f>
        <v>1</v>
      </c>
      <c r="F63" s="73">
        <f>ROUND((F52*$I$11+F53*$I$14)/1000,1)</f>
        <v>1.3</v>
      </c>
      <c r="G63" s="73">
        <f>ROUND((G52*$I$8+(G53-G56)*$I$14)/1000,1)</f>
        <v>3.9</v>
      </c>
      <c r="H63" s="73">
        <f>ROUND((H52*$I$9+(H53-H56)*$I$14)/1000,1)</f>
        <v>0.9</v>
      </c>
      <c r="I63" s="73">
        <f>ROUND((I52*$I$12+I53*$I$14)/1000,1)</f>
        <v>4.8</v>
      </c>
      <c r="J63" s="73">
        <f>ROUND((J52*$I$13+J53*$I$14)/1000,1)</f>
        <v>1.7</v>
      </c>
      <c r="K63" s="73">
        <f>ROUND((K52*$I$14+K53*$I$14)/1000,1)</f>
        <v>3.6</v>
      </c>
      <c r="L63" s="73">
        <f>ROUND((L52*$I$14+L53*$I$14)/1000,1)</f>
        <v>6.1</v>
      </c>
      <c r="M63" s="73">
        <f>ROUND((M52*$I$14+M53*$I$14)/1000,1)</f>
        <v>3.8</v>
      </c>
      <c r="N63" s="73">
        <f>ROUND((N52*$I$8+N53*$I$14)/1000,1)</f>
        <v>5.5</v>
      </c>
      <c r="O63" s="73">
        <f>ROUND((O52*$I$8+O53*$I$14)/1000,1)</f>
        <v>5.2</v>
      </c>
      <c r="P63" s="73">
        <f>ROUND((P52*$I$10+(P53-P56)*$I$14)/1000,1)</f>
        <v>8</v>
      </c>
      <c r="Q63" s="73">
        <f>ROUND((Q52*$I$8+(Q53-Q56)*$I$14)/1000,1)</f>
        <v>3.2</v>
      </c>
      <c r="R63" s="73">
        <f>ROUND((R52*$I$8+(R53-R56)*$I$14)/1000,1)</f>
        <v>3.2</v>
      </c>
      <c r="S63" s="73">
        <f>ROUND((S52*$I$11+(S53-S56)*$I$14)/1000,1)</f>
        <v>-0.8</v>
      </c>
      <c r="T63" s="73">
        <f>ROUND((T52*$I$11+(T53-T56)*$I$14)/1000,1)</f>
        <v>-0.8</v>
      </c>
      <c r="U63" s="73">
        <f>ROUND((U52*$I$10+U53*$I$14)/1000,1)</f>
        <v>0.9</v>
      </c>
      <c r="V63" s="73">
        <f>ROUND((V52*$I$11+V53*$I$14)/1000,1)</f>
        <v>1.1000000000000001</v>
      </c>
      <c r="W63" s="73">
        <f>ROUND((W52*$I$8+W53*$I$14)/1000,1)</f>
        <v>4.5</v>
      </c>
      <c r="X63" s="73">
        <f>ROUND((X52*$I$8+(X53-X56)*$I$14)/1000,1)</f>
        <v>1.8</v>
      </c>
      <c r="Y63" s="73">
        <f>ROUND((Y52*$I$8+(Y53-Y56)*$I$14)/1000,1)</f>
        <v>1.8</v>
      </c>
      <c r="Z63" s="73">
        <f>ROUND((Z52*$I$11+(Z53-Z56)*$I$14)/1000,1)</f>
        <v>3.5</v>
      </c>
      <c r="AA63" s="73">
        <f t="shared" ref="AA63:AG63" si="45">ROUND((AA52*$I$14+(AA53-AA56)*$I$14)/1000,1)</f>
        <v>2.6</v>
      </c>
      <c r="AB63" s="73">
        <f t="shared" si="45"/>
        <v>3.5</v>
      </c>
      <c r="AC63" s="73">
        <f t="shared" si="45"/>
        <v>3.5</v>
      </c>
      <c r="AD63" s="73">
        <f t="shared" si="45"/>
        <v>1.1000000000000001</v>
      </c>
      <c r="AE63" s="73">
        <f t="shared" si="45"/>
        <v>1.1000000000000001</v>
      </c>
      <c r="AF63" s="73">
        <f t="shared" si="45"/>
        <v>-0.1</v>
      </c>
      <c r="AG63" s="73">
        <f t="shared" si="45"/>
        <v>-0.1</v>
      </c>
    </row>
    <row r="64" spans="1:33" x14ac:dyDescent="0.2">
      <c r="A64" s="54" t="s">
        <v>3</v>
      </c>
      <c r="B64" s="74">
        <f t="shared" ref="B64:P64" si="46">IF(($B$17-B54)/$B$17&lt;0,0,($B$17-B54)/$B$17)</f>
        <v>0</v>
      </c>
      <c r="C64" s="74">
        <f t="shared" si="46"/>
        <v>0</v>
      </c>
      <c r="D64" s="74">
        <f t="shared" si="46"/>
        <v>0</v>
      </c>
      <c r="E64" s="74">
        <f t="shared" si="46"/>
        <v>0</v>
      </c>
      <c r="F64" s="74">
        <f t="shared" si="46"/>
        <v>0</v>
      </c>
      <c r="G64" s="74">
        <f t="shared" si="46"/>
        <v>0</v>
      </c>
      <c r="H64" s="74">
        <f t="shared" si="46"/>
        <v>0</v>
      </c>
      <c r="I64" s="74">
        <f t="shared" si="46"/>
        <v>0</v>
      </c>
      <c r="J64" s="74">
        <f t="shared" si="46"/>
        <v>0</v>
      </c>
      <c r="K64" s="74">
        <f t="shared" si="46"/>
        <v>0.68179575727676367</v>
      </c>
      <c r="L64" s="74">
        <f t="shared" si="46"/>
        <v>0.45929945732609767</v>
      </c>
      <c r="M64" s="74">
        <f t="shared" si="46"/>
        <v>0.66699555994079918</v>
      </c>
      <c r="N64" s="74">
        <f t="shared" si="46"/>
        <v>0</v>
      </c>
      <c r="O64" s="74">
        <f t="shared" si="46"/>
        <v>0</v>
      </c>
      <c r="P64" s="74">
        <f t="shared" si="46"/>
        <v>0.18889985199802664</v>
      </c>
      <c r="Q64" s="74">
        <f>IF(($B$17-Q54)/$B$17&lt;0,0,($B$17-Q54)/$B$17)</f>
        <v>2.4666995559940799E-3</v>
      </c>
      <c r="R64" s="74">
        <f t="shared" ref="R64:AF64" si="47">IF(($B$17-R54)/$B$17&lt;0,0,($B$17-R54)/$B$17)</f>
        <v>2.4666995559940799E-3</v>
      </c>
      <c r="S64" s="74">
        <f t="shared" si="47"/>
        <v>0</v>
      </c>
      <c r="T64" s="74">
        <f t="shared" si="47"/>
        <v>0</v>
      </c>
      <c r="U64" s="74">
        <f t="shared" si="47"/>
        <v>0</v>
      </c>
      <c r="V64" s="74">
        <f t="shared" si="47"/>
        <v>0</v>
      </c>
      <c r="W64" s="74">
        <f t="shared" si="47"/>
        <v>0.46817957572767638</v>
      </c>
      <c r="X64" s="74">
        <f t="shared" si="47"/>
        <v>0.57276763690182531</v>
      </c>
      <c r="Y64" s="74">
        <f t="shared" si="47"/>
        <v>0.57276763690182531</v>
      </c>
      <c r="Z64" s="74">
        <f t="shared" si="47"/>
        <v>0.46817957572767638</v>
      </c>
      <c r="AA64" s="74">
        <f t="shared" si="47"/>
        <v>0.7701036013813517</v>
      </c>
      <c r="AB64" s="74">
        <f t="shared" si="47"/>
        <v>0.57868771583621115</v>
      </c>
      <c r="AC64" s="74">
        <f t="shared" si="47"/>
        <v>0.57868771583621115</v>
      </c>
      <c r="AD64" s="74">
        <f t="shared" si="47"/>
        <v>0.7750370004933399</v>
      </c>
      <c r="AE64" s="74">
        <f t="shared" si="47"/>
        <v>0.7750370004933399</v>
      </c>
      <c r="AF64" s="74">
        <f t="shared" si="47"/>
        <v>0.85545140601874692</v>
      </c>
      <c r="AG64" s="74">
        <f>IF(($B$17-AG54)/$B$17&lt;0,0,($B$17-AG54)/$B$17)</f>
        <v>0.85545140601874692</v>
      </c>
    </row>
    <row r="65" spans="1:33" x14ac:dyDescent="0.2">
      <c r="A65" s="54" t="s">
        <v>5</v>
      </c>
      <c r="B65" s="74">
        <f t="shared" ref="B65:P65" si="48">B57/$B$18</f>
        <v>0</v>
      </c>
      <c r="C65" s="74">
        <f t="shared" si="48"/>
        <v>0</v>
      </c>
      <c r="D65" s="74">
        <f t="shared" si="48"/>
        <v>0</v>
      </c>
      <c r="E65" s="74">
        <f t="shared" si="48"/>
        <v>0</v>
      </c>
      <c r="F65" s="74">
        <f t="shared" si="48"/>
        <v>0</v>
      </c>
      <c r="G65" s="74">
        <f t="shared" si="48"/>
        <v>0.51</v>
      </c>
      <c r="H65" s="74">
        <f t="shared" si="48"/>
        <v>0.57999999999999996</v>
      </c>
      <c r="I65" s="74">
        <f t="shared" si="48"/>
        <v>0</v>
      </c>
      <c r="J65" s="74">
        <f t="shared" si="48"/>
        <v>0</v>
      </c>
      <c r="K65" s="74">
        <f t="shared" si="48"/>
        <v>0</v>
      </c>
      <c r="L65" s="74">
        <f t="shared" si="48"/>
        <v>0</v>
      </c>
      <c r="M65" s="74">
        <f t="shared" si="48"/>
        <v>0</v>
      </c>
      <c r="N65" s="74">
        <f t="shared" si="48"/>
        <v>0</v>
      </c>
      <c r="O65" s="74">
        <f t="shared" si="48"/>
        <v>0</v>
      </c>
      <c r="P65" s="74">
        <f t="shared" si="48"/>
        <v>0.16250000000000001</v>
      </c>
      <c r="Q65" s="74">
        <f>Q57/$B$18</f>
        <v>0.23499999999999999</v>
      </c>
      <c r="R65" s="74">
        <f t="shared" ref="R65:AF65" si="49">R57/$B$18</f>
        <v>0.47</v>
      </c>
      <c r="S65" s="74">
        <f t="shared" si="49"/>
        <v>0.24</v>
      </c>
      <c r="T65" s="74">
        <f t="shared" si="49"/>
        <v>0.48</v>
      </c>
      <c r="U65" s="74">
        <f t="shared" si="49"/>
        <v>0</v>
      </c>
      <c r="V65" s="74">
        <f t="shared" si="49"/>
        <v>0</v>
      </c>
      <c r="W65" s="74">
        <f t="shared" si="49"/>
        <v>0</v>
      </c>
      <c r="X65" s="74">
        <f t="shared" si="49"/>
        <v>0.20250000000000001</v>
      </c>
      <c r="Y65" s="74">
        <f t="shared" si="49"/>
        <v>0.40500000000000003</v>
      </c>
      <c r="Z65" s="74">
        <f t="shared" si="49"/>
        <v>0</v>
      </c>
      <c r="AA65" s="74">
        <f t="shared" si="49"/>
        <v>0</v>
      </c>
      <c r="AB65" s="74">
        <f t="shared" si="49"/>
        <v>0.17749999999999999</v>
      </c>
      <c r="AC65" s="74">
        <f t="shared" si="49"/>
        <v>0.35499999999999998</v>
      </c>
      <c r="AD65" s="74">
        <f t="shared" si="49"/>
        <v>0.19500000000000001</v>
      </c>
      <c r="AE65" s="74">
        <f t="shared" si="49"/>
        <v>0.39</v>
      </c>
      <c r="AF65" s="74">
        <f t="shared" si="49"/>
        <v>0.23</v>
      </c>
      <c r="AG65" s="74">
        <f>AG57/$B$18</f>
        <v>0.45750000000000002</v>
      </c>
    </row>
    <row r="66" spans="1:33" x14ac:dyDescent="0.2">
      <c r="D66" s="6"/>
      <c r="E66" s="6"/>
      <c r="I66" s="3"/>
    </row>
    <row r="67" spans="1:33" x14ac:dyDescent="0.2">
      <c r="B67" s="78"/>
      <c r="C67" s="79" t="s">
        <v>136</v>
      </c>
      <c r="D67" s="79"/>
      <c r="E67" s="79"/>
      <c r="F67" s="80"/>
      <c r="G67" s="81" t="s">
        <v>137</v>
      </c>
      <c r="H67" s="79"/>
      <c r="I67" s="82"/>
    </row>
    <row r="68" spans="1:33" x14ac:dyDescent="0.2">
      <c r="B68" s="83"/>
      <c r="C68" t="s">
        <v>138</v>
      </c>
      <c r="F68" s="84"/>
      <c r="G68" t="s">
        <v>139</v>
      </c>
      <c r="I68" s="85"/>
    </row>
    <row r="69" spans="1:33" x14ac:dyDescent="0.2">
      <c r="B69" s="86"/>
      <c r="C69" t="s">
        <v>140</v>
      </c>
      <c r="F69" s="87"/>
      <c r="G69" t="s">
        <v>141</v>
      </c>
      <c r="I69" s="85"/>
    </row>
    <row r="70" spans="1:33" x14ac:dyDescent="0.2">
      <c r="B70" s="88"/>
      <c r="C70" s="89" t="s">
        <v>142</v>
      </c>
      <c r="D70" s="89"/>
      <c r="E70" s="89"/>
      <c r="F70" s="89"/>
      <c r="G70" s="89"/>
      <c r="H70" s="89"/>
      <c r="I70" s="90"/>
    </row>
    <row r="72" spans="1:33" x14ac:dyDescent="0.2">
      <c r="B72" s="129"/>
      <c r="C72" s="92" t="s">
        <v>153</v>
      </c>
      <c r="D72" s="79"/>
      <c r="E72" s="79"/>
      <c r="F72" s="82"/>
    </row>
    <row r="73" spans="1:33" x14ac:dyDescent="0.2">
      <c r="B73" s="93" t="s">
        <v>148</v>
      </c>
      <c r="C73" s="94" t="s">
        <v>149</v>
      </c>
      <c r="F73" s="85"/>
    </row>
    <row r="74" spans="1:33" x14ac:dyDescent="0.2">
      <c r="B74" s="95" t="s">
        <v>150</v>
      </c>
      <c r="C74" s="96" t="s">
        <v>151</v>
      </c>
      <c r="D74" s="89"/>
      <c r="E74" s="89"/>
      <c r="F74" s="90"/>
    </row>
  </sheetData>
  <sheetProtection algorithmName="SHA-512" hashValue="r1v5nBcRwx3EsTt281SX4qOK3ZW5F1BFU1nPH6XMUG6wxGlMNDMj6cJA0JEKW/XEIAUPmGHDahQinYKFZ1QpRA==" saltValue="1lZvTDHQQ/2yyNVlrJLaOA==" spinCount="100000" sheet="1" objects="1" scenarios="1" selectLockedCells="1"/>
  <conditionalFormatting sqref="B6">
    <cfRule type="cellIs" dxfId="22" priority="6" stopIfTrue="1" operator="notBetween">
      <formula>11170</formula>
      <formula>26070</formula>
    </cfRule>
  </conditionalFormatting>
  <conditionalFormatting sqref="B7">
    <cfRule type="cellIs" dxfId="21" priority="13" stopIfTrue="1" operator="notBetween">
      <formula>600</formula>
      <formula>1200</formula>
    </cfRule>
  </conditionalFormatting>
  <conditionalFormatting sqref="B8:B9">
    <cfRule type="cellIs" dxfId="20" priority="7" operator="notBetween">
      <formula>3</formula>
      <formula>100</formula>
    </cfRule>
  </conditionalFormatting>
  <conditionalFormatting sqref="B10">
    <cfRule type="cellIs" dxfId="19" priority="12" stopIfTrue="1" operator="notBetween">
      <formula>10</formula>
      <formula>1000</formula>
    </cfRule>
  </conditionalFormatting>
  <conditionalFormatting sqref="B11">
    <cfRule type="cellIs" dxfId="18" priority="9" stopIfTrue="1" operator="notBetween">
      <formula>150</formula>
      <formula>1000</formula>
    </cfRule>
  </conditionalFormatting>
  <conditionalFormatting sqref="B12">
    <cfRule type="cellIs" dxfId="17" priority="8" stopIfTrue="1" operator="notBetween">
      <formula>5</formula>
      <formula>100</formula>
    </cfRule>
  </conditionalFormatting>
  <conditionalFormatting sqref="B13">
    <cfRule type="cellIs" dxfId="16" priority="11" stopIfTrue="1" operator="notBetween">
      <formula>20</formula>
      <formula>200</formula>
    </cfRule>
  </conditionalFormatting>
  <conditionalFormatting sqref="B14">
    <cfRule type="cellIs" dxfId="15" priority="10" stopIfTrue="1" operator="notBetween">
      <formula>5</formula>
      <formula>200</formula>
    </cfRule>
  </conditionalFormatting>
  <conditionalFormatting sqref="B15">
    <cfRule type="cellIs" dxfId="14" priority="22" stopIfTrue="1" operator="notBetween">
      <formula>10</formula>
      <formula>200</formula>
    </cfRule>
  </conditionalFormatting>
  <conditionalFormatting sqref="B16">
    <cfRule type="cellIs" dxfId="13" priority="1" stopIfTrue="1" operator="notBetween">
      <formula>5</formula>
      <formula>50</formula>
    </cfRule>
  </conditionalFormatting>
  <conditionalFormatting sqref="B18">
    <cfRule type="cellIs" dxfId="12" priority="5" stopIfTrue="1" operator="notBetween">
      <formula>1000</formula>
      <formula>10000</formula>
    </cfRule>
  </conditionalFormatting>
  <conditionalFormatting sqref="B72">
    <cfRule type="cellIs" dxfId="11" priority="2" stopIfTrue="1" operator="notBetween">
      <formula>60</formula>
      <formula>140</formula>
    </cfRule>
  </conditionalFormatting>
  <conditionalFormatting sqref="B51:AG51">
    <cfRule type="cellIs" dxfId="10" priority="14" operator="lessThan">
      <formula>0</formula>
    </cfRule>
    <cfRule type="cellIs" dxfId="9" priority="15" stopIfTrue="1" operator="lessThanOrEqual">
      <formula>5000</formula>
    </cfRule>
  </conditionalFormatting>
  <conditionalFormatting sqref="B60:AG60">
    <cfRule type="cellIs" dxfId="8" priority="49" operator="lessThanOrEqual">
      <formula>1500</formula>
    </cfRule>
    <cfRule type="cellIs" dxfId="7" priority="50" operator="greaterThan">
      <formula>$B$60</formula>
    </cfRule>
  </conditionalFormatting>
  <conditionalFormatting sqref="B61:AG61">
    <cfRule type="cellIs" dxfId="6" priority="53" stopIfTrue="1" operator="greaterThanOrEqual">
      <formula>5000</formula>
    </cfRule>
  </conditionalFormatting>
  <conditionalFormatting sqref="B63:AG63">
    <cfRule type="cellIs" dxfId="5" priority="20" operator="lessThanOrEqual">
      <formula>2</formula>
    </cfRule>
    <cfRule type="cellIs" dxfId="4" priority="21" operator="greaterThan">
      <formula>$B$63</formula>
    </cfRule>
  </conditionalFormatting>
  <conditionalFormatting sqref="B64:AG64">
    <cfRule type="cellIs" dxfId="3" priority="52" stopIfTrue="1" operator="greaterThanOrEqual">
      <formula>0.5</formula>
    </cfRule>
  </conditionalFormatting>
  <conditionalFormatting sqref="B65:AG65">
    <cfRule type="cellIs" dxfId="2" priority="51" stopIfTrue="1" operator="greaterThanOrEqual">
      <formula>0.5</formula>
    </cfRule>
  </conditionalFormatting>
  <conditionalFormatting sqref="C62:AG62">
    <cfRule type="expression" dxfId="1" priority="3">
      <formula>OR(IF(C$51&gt;0,C$62&lt;=10,C$62&gt;30),C$62="sofort")</formula>
    </cfRule>
    <cfRule type="expression" dxfId="0" priority="4" stopIfTrue="1">
      <formula>C$51&lt;0</formula>
    </cfRule>
  </conditionalFormatting>
  <pageMargins left="0.39370078740157483" right="0.39370078740157483" top="0.98425196850393704" bottom="0.98425196850393704" header="0.51181102362204722" footer="0.51181102362204722"/>
  <pageSetup paperSize="9" scale="44" fitToWidth="2"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x14ac:dyDescent="0.2"/>
  <sheetData/>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Haustechnikvarianten gesamt</vt:lpstr>
      <vt:lpstr>Haustechnikvarianten berechnen</vt:lpstr>
      <vt:lpstr>Tabelle1</vt:lpstr>
      <vt:lpstr>Tabelle2</vt:lpstr>
      <vt:lpstr>Tabelle3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Johannes Spruth</cp:lastModifiedBy>
  <cp:lastPrinted>2024-01-07T13:53:38Z</cp:lastPrinted>
  <dcterms:created xsi:type="dcterms:W3CDTF">2017-07-13T22:33:43Z</dcterms:created>
  <dcterms:modified xsi:type="dcterms:W3CDTF">2024-01-07T16:09:05Z</dcterms:modified>
</cp:coreProperties>
</file>