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DieseArbeitsmappe" defaultThemeVersion="166925"/>
  <mc:AlternateContent xmlns:mc="http://schemas.openxmlformats.org/markup-compatibility/2006">
    <mc:Choice Requires="x15">
      <x15ac:absPath xmlns:x15ac="http://schemas.microsoft.com/office/spreadsheetml/2010/11/ac" url="D:\Datensammlung\Kleine Festplatte\Johannes\Bücher\Heizung und WW\interaktive Tabellen\"/>
    </mc:Choice>
  </mc:AlternateContent>
  <xr:revisionPtr revIDLastSave="0" documentId="13_ncr:1_{8619DD9E-F573-403B-AFB5-EBA0E2585415}" xr6:coauthVersionLast="47" xr6:coauthVersionMax="47" xr10:uidLastSave="{00000000-0000-0000-0000-000000000000}"/>
  <workbookProtection workbookAlgorithmName="SHA-512" workbookHashValue="t6NmD7H/dtIf+RFZQsv6mIto251YJ678fKCck2wrIUqVoLBgMlckNmiUS/cTlOSW32RdJGn7rBXiWodfMLLdEQ==" workbookSaltValue="O5CYd6Zyh6XbUEWO5ze3mw==" workbookSpinCount="100000" lockStructure="1"/>
  <bookViews>
    <workbookView xWindow="-120" yWindow="-120" windowWidth="19440" windowHeight="15000" xr2:uid="{00000000-000D-0000-FFFF-FFFF00000000}"/>
  </bookViews>
  <sheets>
    <sheet name="Haustechnikvarianten gesamt" sheetId="1" r:id="rId1"/>
    <sheet name="Haustechnikvarianten berechnen" sheetId="4" r:id="rId2"/>
    <sheet name="Tabelle1" sheetId="5" r:id="rId3"/>
    <sheet name="Tabelle2" sheetId="2" r:id="rId4"/>
    <sheet name="Tabelle3" sheetId="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44" i="4" l="1"/>
  <c r="Y44" i="4"/>
  <c r="X44" i="4"/>
  <c r="W44" i="4"/>
  <c r="S46" i="4" l="1"/>
  <c r="T46" i="4"/>
  <c r="S47" i="4"/>
  <c r="T47" i="4"/>
  <c r="R47" i="4"/>
  <c r="R46" i="4"/>
  <c r="Y46" i="4" l="1"/>
  <c r="Z46" i="4"/>
  <c r="Y47" i="4"/>
  <c r="Z47" i="4"/>
  <c r="X47" i="4"/>
  <c r="X46" i="4"/>
  <c r="AE44" i="4"/>
  <c r="AF44" i="4"/>
  <c r="AG44" i="4"/>
  <c r="AH44" i="4"/>
  <c r="AB44" i="4"/>
  <c r="AC44" i="4"/>
  <c r="AD44" i="4"/>
  <c r="AA44" i="4"/>
  <c r="Z45" i="4"/>
  <c r="V44" i="4"/>
  <c r="U44" i="4"/>
  <c r="U45" i="4"/>
  <c r="V45" i="4"/>
  <c r="W45" i="4"/>
  <c r="X45" i="4"/>
  <c r="Y45" i="4"/>
  <c r="AA45" i="4"/>
  <c r="AB45" i="4"/>
  <c r="AC45" i="4"/>
  <c r="AD45" i="4"/>
  <c r="AE45" i="4"/>
  <c r="AF45" i="4"/>
  <c r="AG45" i="4"/>
  <c r="AH45" i="4"/>
  <c r="S44" i="4"/>
  <c r="T44" i="4"/>
  <c r="R45" i="4"/>
  <c r="S45" i="4"/>
  <c r="T45" i="4"/>
  <c r="R44" i="4"/>
  <c r="Q44" i="4"/>
  <c r="Q45" i="4"/>
  <c r="P44" i="4"/>
  <c r="P45" i="4"/>
  <c r="M44" i="4"/>
  <c r="N44" i="4"/>
  <c r="O44" i="4"/>
  <c r="M45" i="4"/>
  <c r="N45" i="4"/>
  <c r="O45" i="4"/>
  <c r="K44" i="4"/>
  <c r="L44" i="4"/>
  <c r="K45" i="4"/>
  <c r="L45" i="4"/>
  <c r="J44" i="4"/>
  <c r="I45" i="4"/>
  <c r="J45" i="4"/>
  <c r="H44" i="4"/>
  <c r="H45" i="4"/>
  <c r="G45" i="4"/>
  <c r="G44" i="4"/>
  <c r="H46" i="4"/>
  <c r="H47" i="4"/>
  <c r="G47" i="4"/>
  <c r="G46" i="4"/>
  <c r="F44" i="4"/>
  <c r="D44" i="4"/>
  <c r="E44" i="4"/>
  <c r="F46" i="4"/>
  <c r="D46" i="4"/>
  <c r="E46" i="4"/>
  <c r="D47" i="4"/>
  <c r="E47" i="4"/>
  <c r="F47" i="4"/>
  <c r="C47" i="4"/>
  <c r="C46" i="4"/>
  <c r="C44" i="4"/>
  <c r="D45" i="4"/>
  <c r="E45" i="4"/>
  <c r="F45" i="4"/>
  <c r="D50" i="4"/>
  <c r="E50" i="4"/>
  <c r="F50" i="4"/>
  <c r="H50" i="4"/>
  <c r="I50" i="4"/>
  <c r="J50" i="4"/>
  <c r="K50" i="4"/>
  <c r="L50" i="4"/>
  <c r="M50" i="4"/>
  <c r="N50" i="4"/>
  <c r="O50" i="4"/>
  <c r="P50" i="4"/>
  <c r="Q50" i="4"/>
  <c r="R50" i="4"/>
  <c r="S50" i="4"/>
  <c r="T50" i="4"/>
  <c r="U50" i="4"/>
  <c r="V50" i="4"/>
  <c r="W50" i="4"/>
  <c r="X50" i="4"/>
  <c r="Y50" i="4"/>
  <c r="Z50" i="4"/>
  <c r="AA50" i="4"/>
  <c r="AB50" i="4"/>
  <c r="AC50" i="4"/>
  <c r="AD50" i="4"/>
  <c r="AE50" i="4"/>
  <c r="AF50" i="4"/>
  <c r="AG50" i="4"/>
  <c r="AH50" i="4"/>
  <c r="C50" i="4"/>
  <c r="C45" i="4"/>
  <c r="D20" i="4"/>
  <c r="AI20" i="4"/>
  <c r="B53" i="4"/>
  <c r="B18" i="4"/>
  <c r="D7" i="4"/>
  <c r="F7" i="4"/>
  <c r="AI6" i="4"/>
  <c r="J48" i="1"/>
  <c r="H53" i="4" l="1"/>
  <c r="V53" i="4" s="1"/>
  <c r="I53" i="4"/>
  <c r="J53" i="4"/>
  <c r="K53" i="4"/>
  <c r="L53" i="4"/>
  <c r="M53" i="4"/>
  <c r="N53" i="4"/>
  <c r="O53" i="4"/>
  <c r="W53" i="4"/>
  <c r="X53" i="4"/>
  <c r="Y53" i="4"/>
  <c r="Z53" i="4"/>
  <c r="AA53" i="4"/>
  <c r="AB53" i="4"/>
  <c r="AC53" i="4"/>
  <c r="AD53" i="4"/>
  <c r="AE53" i="4"/>
  <c r="AF53" i="4"/>
  <c r="AG53" i="4"/>
  <c r="AH53" i="4"/>
  <c r="G53" i="4"/>
  <c r="U53" i="4" s="1"/>
  <c r="D53" i="4"/>
  <c r="E53" i="4"/>
  <c r="F53" i="4"/>
  <c r="C53" i="4"/>
  <c r="D6" i="4"/>
  <c r="D11" i="4"/>
  <c r="J56" i="1"/>
  <c r="G50" i="4"/>
  <c r="AH46" i="4"/>
  <c r="AH47" i="4" s="1"/>
  <c r="AG46" i="4"/>
  <c r="AG47" i="4" s="1"/>
  <c r="AF46" i="4"/>
  <c r="AF47" i="4" s="1"/>
  <c r="AE46" i="4"/>
  <c r="AE47" i="4" s="1"/>
  <c r="AD46" i="4"/>
  <c r="AD47" i="4" s="1"/>
  <c r="AC46" i="4"/>
  <c r="AC47" i="4" s="1"/>
  <c r="AB46" i="4"/>
  <c r="AB47" i="4" s="1"/>
  <c r="AA46" i="4"/>
  <c r="AA47" i="4" s="1"/>
  <c r="W46" i="4"/>
  <c r="W47" i="4" s="1"/>
  <c r="V46" i="4"/>
  <c r="V47" i="4" s="1"/>
  <c r="U46" i="4"/>
  <c r="U47" i="4" s="1"/>
  <c r="Q46" i="4"/>
  <c r="Q47" i="4" s="1"/>
  <c r="P46" i="4"/>
  <c r="P47" i="4" s="1"/>
  <c r="O46" i="4"/>
  <c r="O47" i="4" s="1"/>
  <c r="N46" i="4"/>
  <c r="N47" i="4" s="1"/>
  <c r="M46" i="4"/>
  <c r="M47" i="4" s="1"/>
  <c r="L46" i="4"/>
  <c r="L47" i="4" s="1"/>
  <c r="K46" i="4"/>
  <c r="K47" i="4" s="1"/>
  <c r="J46" i="4"/>
  <c r="J47" i="4" s="1"/>
  <c r="K39" i="1"/>
  <c r="J39" i="1"/>
  <c r="K40" i="1"/>
  <c r="J40" i="1"/>
  <c r="D14" i="4"/>
  <c r="D13" i="4"/>
  <c r="D12" i="4"/>
  <c r="D10" i="4"/>
  <c r="D9" i="4"/>
  <c r="W39" i="1"/>
  <c r="W40" i="1" s="1"/>
  <c r="Q39" i="1"/>
  <c r="Q40" i="1" s="1"/>
  <c r="H40" i="1"/>
  <c r="G40" i="1"/>
  <c r="AH39" i="1"/>
  <c r="AH40" i="1" s="1"/>
  <c r="AG39" i="1"/>
  <c r="AG40" i="1" s="1"/>
  <c r="AF39" i="1"/>
  <c r="AF40" i="1" s="1"/>
  <c r="AE39" i="1"/>
  <c r="AE40" i="1" s="1"/>
  <c r="AD39" i="1"/>
  <c r="AD40" i="1" s="1"/>
  <c r="AC39" i="1"/>
  <c r="AC40" i="1" s="1"/>
  <c r="AB39" i="1"/>
  <c r="AB40" i="1" s="1"/>
  <c r="AA39" i="1"/>
  <c r="AA40" i="1" s="1"/>
  <c r="V39" i="1"/>
  <c r="V40" i="1" s="1"/>
  <c r="U39" i="1"/>
  <c r="U40" i="1" s="1"/>
  <c r="P39" i="1"/>
  <c r="P40" i="1" s="1"/>
  <c r="O39" i="1"/>
  <c r="O40" i="1" s="1"/>
  <c r="N39" i="1"/>
  <c r="N40" i="1" s="1"/>
  <c r="M39" i="1"/>
  <c r="M40" i="1" s="1"/>
  <c r="L39" i="1"/>
  <c r="L40" i="1" s="1"/>
  <c r="D15" i="4"/>
  <c r="Q53" i="4" l="1"/>
  <c r="R53" i="4"/>
  <c r="S53" i="4"/>
  <c r="T53" i="4"/>
  <c r="P53" i="4"/>
  <c r="H54" i="4"/>
  <c r="I54" i="4"/>
  <c r="J54" i="4"/>
  <c r="K54" i="4"/>
  <c r="L54" i="4"/>
  <c r="M54" i="4"/>
  <c r="N54" i="4"/>
  <c r="O54" i="4"/>
  <c r="P54" i="4"/>
  <c r="Q54" i="4"/>
  <c r="R54" i="4"/>
  <c r="S54" i="4"/>
  <c r="T54" i="4"/>
  <c r="U54" i="4"/>
  <c r="V54" i="4"/>
  <c r="W54" i="4"/>
  <c r="X54" i="4"/>
  <c r="Y54" i="4"/>
  <c r="Z54" i="4"/>
  <c r="AA54" i="4"/>
  <c r="AB54" i="4"/>
  <c r="AC54" i="4"/>
  <c r="AD54" i="4"/>
  <c r="AE54" i="4"/>
  <c r="AF54" i="4"/>
  <c r="AG54" i="4"/>
  <c r="AH54" i="4"/>
  <c r="G54" i="4"/>
  <c r="B54" i="4"/>
  <c r="D19" i="4"/>
  <c r="D16" i="4"/>
  <c r="Q48" i="1"/>
  <c r="P48" i="1"/>
  <c r="Z48" i="1"/>
  <c r="Y48" i="1"/>
  <c r="W48" i="1"/>
  <c r="T48" i="1"/>
  <c r="S48" i="1"/>
  <c r="R48" i="1"/>
  <c r="L48" i="1"/>
  <c r="K48" i="1"/>
  <c r="B48" i="1"/>
  <c r="J51" i="1"/>
  <c r="I51" i="1"/>
  <c r="B50" i="4"/>
  <c r="AA41" i="4"/>
  <c r="D17" i="4"/>
  <c r="D54" i="4" l="1"/>
  <c r="E54" i="4"/>
  <c r="F54" i="4"/>
  <c r="C54" i="4"/>
  <c r="AA51" i="4"/>
  <c r="AA58" i="1"/>
  <c r="AA56" i="1"/>
  <c r="AA47" i="1"/>
  <c r="AA57" i="1" s="1"/>
  <c r="AA42" i="1"/>
  <c r="AA38" i="1"/>
  <c r="AA43" i="1" s="1"/>
  <c r="S56" i="1"/>
  <c r="T56" i="1"/>
  <c r="R56" i="1"/>
  <c r="C51" i="1"/>
  <c r="D51" i="1"/>
  <c r="E51" i="1"/>
  <c r="F51" i="1"/>
  <c r="G51" i="1"/>
  <c r="H51" i="1"/>
  <c r="K51" i="1"/>
  <c r="L51" i="1"/>
  <c r="M51" i="1"/>
  <c r="N51" i="1"/>
  <c r="O51" i="1"/>
  <c r="P51" i="1"/>
  <c r="Q51" i="1"/>
  <c r="R51" i="1"/>
  <c r="S51" i="1"/>
  <c r="T51" i="1"/>
  <c r="U51" i="1"/>
  <c r="V51" i="1"/>
  <c r="W51" i="1"/>
  <c r="X51" i="1"/>
  <c r="Y51" i="1"/>
  <c r="Z51" i="1"/>
  <c r="AA51" i="1"/>
  <c r="AB51" i="1"/>
  <c r="AC51" i="1"/>
  <c r="AD51" i="1"/>
  <c r="AE51" i="1"/>
  <c r="AF51" i="1"/>
  <c r="AG51" i="1"/>
  <c r="AH51" i="1"/>
  <c r="B51" i="1"/>
  <c r="Q56" i="1"/>
  <c r="P56" i="1"/>
  <c r="D42" i="1" l="1"/>
  <c r="E42" i="1"/>
  <c r="F42" i="1"/>
  <c r="I42" i="1"/>
  <c r="J42" i="1"/>
  <c r="K42" i="1"/>
  <c r="L42" i="1"/>
  <c r="N42" i="1"/>
  <c r="O42" i="1"/>
  <c r="R42" i="1"/>
  <c r="S42" i="1"/>
  <c r="T42" i="1"/>
  <c r="W42" i="1"/>
  <c r="AC42" i="1"/>
  <c r="AD42" i="1"/>
  <c r="AE42" i="1"/>
  <c r="AF42" i="1"/>
  <c r="AH42" i="1"/>
  <c r="AG42" i="1"/>
  <c r="AB42" i="1"/>
  <c r="Z40" i="1"/>
  <c r="Z42" i="1" s="1"/>
  <c r="Y40" i="1"/>
  <c r="Y42" i="1" s="1"/>
  <c r="P42" i="1"/>
  <c r="Q42" i="1"/>
  <c r="X40" i="1"/>
  <c r="X42" i="1" s="1"/>
  <c r="V42" i="1"/>
  <c r="U42" i="1"/>
  <c r="M42" i="1"/>
  <c r="H42" i="1"/>
  <c r="G42" i="1"/>
  <c r="D8" i="4" l="1"/>
  <c r="C38" i="1" l="1"/>
  <c r="C41" i="1" s="1"/>
  <c r="C42" i="1" s="1"/>
  <c r="D38" i="1"/>
  <c r="E38" i="1"/>
  <c r="F38" i="1"/>
  <c r="G38" i="1"/>
  <c r="H38" i="1"/>
  <c r="I38" i="1"/>
  <c r="J38" i="1"/>
  <c r="K38" i="1"/>
  <c r="L38" i="1"/>
  <c r="M38" i="1"/>
  <c r="N38" i="1"/>
  <c r="O38" i="1"/>
  <c r="P38" i="1"/>
  <c r="Q38" i="1"/>
  <c r="R38" i="1"/>
  <c r="S38" i="1"/>
  <c r="T38" i="1"/>
  <c r="U38" i="1"/>
  <c r="V38" i="1"/>
  <c r="W38" i="1"/>
  <c r="X38" i="1"/>
  <c r="Y38" i="1"/>
  <c r="Z38" i="1"/>
  <c r="AB38" i="1"/>
  <c r="AC38" i="1"/>
  <c r="AD38" i="1"/>
  <c r="AE38" i="1"/>
  <c r="AF38" i="1"/>
  <c r="AG38" i="1"/>
  <c r="AH38" i="1"/>
  <c r="Z56" i="1" l="1"/>
  <c r="Y56" i="1"/>
  <c r="E59" i="4" l="1"/>
  <c r="K57" i="4" l="1"/>
  <c r="L57" i="4"/>
  <c r="M57" i="4"/>
  <c r="N57" i="4"/>
  <c r="O57" i="4"/>
  <c r="P57" i="4"/>
  <c r="Q57" i="4"/>
  <c r="K58" i="4"/>
  <c r="L58" i="4"/>
  <c r="M58" i="4"/>
  <c r="N58" i="4"/>
  <c r="O58" i="4"/>
  <c r="P58" i="4"/>
  <c r="Q58" i="4"/>
  <c r="P59" i="4" l="1"/>
  <c r="N59" i="4"/>
  <c r="L59" i="4"/>
  <c r="Q59" i="4"/>
  <c r="O59" i="4"/>
  <c r="M59" i="4"/>
  <c r="K59" i="4"/>
  <c r="C41" i="4"/>
  <c r="D41" i="4"/>
  <c r="E41" i="4"/>
  <c r="F41" i="4"/>
  <c r="G41" i="4"/>
  <c r="H41" i="4"/>
  <c r="I41" i="4"/>
  <c r="J41" i="4"/>
  <c r="K41" i="4"/>
  <c r="L41" i="4"/>
  <c r="M41" i="4"/>
  <c r="N41" i="4"/>
  <c r="O41" i="4"/>
  <c r="P41" i="4"/>
  <c r="Q41" i="4"/>
  <c r="R41" i="4"/>
  <c r="S41" i="4"/>
  <c r="T41" i="4"/>
  <c r="U41" i="4"/>
  <c r="V41" i="4"/>
  <c r="W41" i="4"/>
  <c r="X41" i="4"/>
  <c r="Y41" i="4"/>
  <c r="Z41" i="4"/>
  <c r="AB41" i="4"/>
  <c r="AC41" i="4"/>
  <c r="AD41" i="4"/>
  <c r="AD51" i="4" s="1"/>
  <c r="AE41" i="4"/>
  <c r="AE51" i="4" s="1"/>
  <c r="AF41" i="4"/>
  <c r="AF51" i="4" s="1"/>
  <c r="AG41" i="4"/>
  <c r="AG51" i="4" s="1"/>
  <c r="AH41" i="4"/>
  <c r="AH51" i="4" s="1"/>
  <c r="E56" i="1"/>
  <c r="AC56" i="1"/>
  <c r="AD56" i="1"/>
  <c r="AE56" i="1"/>
  <c r="AF56" i="1"/>
  <c r="AG56" i="1"/>
  <c r="AH56" i="1"/>
  <c r="AC58" i="1"/>
  <c r="AD58" i="1"/>
  <c r="AE58" i="1"/>
  <c r="AF58" i="1"/>
  <c r="AG58" i="1"/>
  <c r="AH58" i="1"/>
  <c r="X56" i="1"/>
  <c r="V56" i="1"/>
  <c r="U56" i="1"/>
  <c r="W56" i="1"/>
  <c r="U58" i="1"/>
  <c r="V58" i="1"/>
  <c r="W58" i="1"/>
  <c r="X58" i="1"/>
  <c r="Y58" i="1"/>
  <c r="Z58" i="1"/>
  <c r="T58" i="1"/>
  <c r="R58" i="1"/>
  <c r="S58" i="1"/>
  <c r="N56" i="1"/>
  <c r="O56" i="1"/>
  <c r="M56" i="1"/>
  <c r="K56" i="1"/>
  <c r="L56" i="1"/>
  <c r="I56" i="1"/>
  <c r="H56" i="1"/>
  <c r="G56" i="1"/>
  <c r="C56" i="1"/>
  <c r="D56" i="1"/>
  <c r="I58" i="1"/>
  <c r="B56" i="1"/>
  <c r="L53" i="1"/>
  <c r="AD48" i="1"/>
  <c r="AD53" i="1" s="1"/>
  <c r="AE48" i="1"/>
  <c r="AE53" i="1" s="1"/>
  <c r="AF48" i="1"/>
  <c r="AF53" i="1" s="1"/>
  <c r="AG48" i="1"/>
  <c r="AG53" i="1" s="1"/>
  <c r="AH48" i="1"/>
  <c r="AH53" i="1" s="1"/>
  <c r="AC48" i="1"/>
  <c r="AC53" i="1" s="1"/>
  <c r="Z53" i="1"/>
  <c r="Y53" i="1"/>
  <c r="X48" i="1"/>
  <c r="X53" i="1" s="1"/>
  <c r="W53" i="1"/>
  <c r="T53" i="1"/>
  <c r="S53" i="1"/>
  <c r="R53" i="1"/>
  <c r="Q53" i="1"/>
  <c r="P53" i="1"/>
  <c r="O48" i="1"/>
  <c r="O53" i="1" s="1"/>
  <c r="N48" i="1"/>
  <c r="N53" i="1" s="1"/>
  <c r="M48" i="1"/>
  <c r="M53" i="1" s="1"/>
  <c r="K53" i="1"/>
  <c r="I48" i="1"/>
  <c r="E48" i="1"/>
  <c r="D48" i="1"/>
  <c r="C48" i="1"/>
  <c r="I47" i="1"/>
  <c r="I57" i="1" s="1"/>
  <c r="J47" i="1"/>
  <c r="J57" i="1" s="1"/>
  <c r="AF47" i="1"/>
  <c r="AF57" i="1" s="1"/>
  <c r="AF43" i="1"/>
  <c r="AC47" i="1"/>
  <c r="AC57" i="1" s="1"/>
  <c r="AD47" i="1"/>
  <c r="AD57" i="1" s="1"/>
  <c r="AC43" i="1"/>
  <c r="AD43" i="1"/>
  <c r="W47" i="1"/>
  <c r="W57" i="1" s="1"/>
  <c r="R47" i="1"/>
  <c r="R57" i="1" s="1"/>
  <c r="N47" i="1"/>
  <c r="N57" i="1" s="1"/>
  <c r="M47" i="1"/>
  <c r="M57" i="1" s="1"/>
  <c r="W43" i="1"/>
  <c r="R43" i="1"/>
  <c r="M43" i="1"/>
  <c r="N43" i="1"/>
  <c r="I43" i="1"/>
  <c r="I53" i="1" l="1"/>
  <c r="F58" i="4"/>
  <c r="F66" i="4" s="1"/>
  <c r="F57" i="4"/>
  <c r="F51" i="4"/>
  <c r="F58" i="1"/>
  <c r="F56" i="1"/>
  <c r="F48" i="1"/>
  <c r="F53" i="1" s="1"/>
  <c r="F47" i="1"/>
  <c r="F57" i="1" s="1"/>
  <c r="F43" i="1"/>
  <c r="E66" i="4"/>
  <c r="E51" i="4"/>
  <c r="D58" i="1"/>
  <c r="E58" i="1"/>
  <c r="E47" i="1"/>
  <c r="E57" i="1" s="1"/>
  <c r="E43" i="1"/>
  <c r="F59" i="4" l="1"/>
  <c r="C58" i="4"/>
  <c r="D58" i="4"/>
  <c r="G58" i="4"/>
  <c r="H58" i="4"/>
  <c r="K66" i="4"/>
  <c r="B58" i="4"/>
  <c r="B66" i="4" s="1"/>
  <c r="E13" i="4"/>
  <c r="E12" i="4"/>
  <c r="C57" i="4"/>
  <c r="C59" i="4" s="1"/>
  <c r="D57" i="4"/>
  <c r="D59" i="4" s="1"/>
  <c r="G57" i="4"/>
  <c r="G59" i="4" s="1"/>
  <c r="H57" i="4"/>
  <c r="H59" i="4" s="1"/>
  <c r="B57" i="4"/>
  <c r="B41" i="4"/>
  <c r="C51" i="4"/>
  <c r="B51" i="4"/>
  <c r="AA52" i="4" s="1"/>
  <c r="AB56" i="1"/>
  <c r="AH47" i="1"/>
  <c r="AH57" i="1" s="1"/>
  <c r="AG47" i="1"/>
  <c r="AG57" i="1" s="1"/>
  <c r="AE47" i="1"/>
  <c r="AE57" i="1" s="1"/>
  <c r="AB47" i="1"/>
  <c r="AB57" i="1" s="1"/>
  <c r="Z47" i="1"/>
  <c r="Z57" i="1" s="1"/>
  <c r="Y47" i="1"/>
  <c r="Y57" i="1" s="1"/>
  <c r="V47" i="1"/>
  <c r="V57" i="1" s="1"/>
  <c r="X47" i="1"/>
  <c r="X57" i="1" s="1"/>
  <c r="U47" i="1"/>
  <c r="U57" i="1" s="1"/>
  <c r="T47" i="1"/>
  <c r="T57" i="1" s="1"/>
  <c r="S47" i="1"/>
  <c r="S57" i="1" s="1"/>
  <c r="Q47" i="1"/>
  <c r="Q57" i="1" s="1"/>
  <c r="P47" i="1"/>
  <c r="P57" i="1" s="1"/>
  <c r="O47" i="1"/>
  <c r="O57" i="1" s="1"/>
  <c r="L47" i="1"/>
  <c r="L57" i="1" s="1"/>
  <c r="K47" i="1"/>
  <c r="K57" i="1" s="1"/>
  <c r="J53" i="1"/>
  <c r="H47" i="1"/>
  <c r="H57" i="1" s="1"/>
  <c r="G47" i="1"/>
  <c r="G57" i="1" s="1"/>
  <c r="F11" i="1"/>
  <c r="F10" i="1"/>
  <c r="D47" i="1"/>
  <c r="D57" i="1" s="1"/>
  <c r="C47" i="1"/>
  <c r="C57" i="1" s="1"/>
  <c r="B47" i="1"/>
  <c r="B57" i="1" s="1"/>
  <c r="AI19" i="4"/>
  <c r="AI8" i="4"/>
  <c r="AC51" i="4"/>
  <c r="AB51" i="4"/>
  <c r="Z51" i="4"/>
  <c r="Y51" i="4"/>
  <c r="X51" i="4"/>
  <c r="W51" i="4"/>
  <c r="V51" i="4"/>
  <c r="U51" i="4"/>
  <c r="T51" i="4"/>
  <c r="S51" i="4"/>
  <c r="R51" i="4"/>
  <c r="Q51" i="4"/>
  <c r="P51" i="4"/>
  <c r="O51" i="4"/>
  <c r="N51" i="4"/>
  <c r="M51" i="4"/>
  <c r="L51" i="4"/>
  <c r="K51" i="4"/>
  <c r="J51" i="4"/>
  <c r="I51" i="4"/>
  <c r="H51" i="4"/>
  <c r="G51" i="4"/>
  <c r="D51" i="4"/>
  <c r="B38" i="1"/>
  <c r="B43" i="1" s="1"/>
  <c r="C43" i="1"/>
  <c r="D43" i="1"/>
  <c r="G43" i="1"/>
  <c r="H43" i="1"/>
  <c r="J43" i="1"/>
  <c r="K43" i="1"/>
  <c r="L43" i="1"/>
  <c r="O43" i="1"/>
  <c r="O44" i="1" s="1"/>
  <c r="P43" i="1"/>
  <c r="Q43" i="1"/>
  <c r="S43" i="1"/>
  <c r="T43" i="1"/>
  <c r="T44" i="1" s="1"/>
  <c r="U43" i="1"/>
  <c r="V43" i="1"/>
  <c r="V44" i="1" s="1"/>
  <c r="X43" i="1"/>
  <c r="Y43" i="1"/>
  <c r="Z43" i="1"/>
  <c r="AB43" i="1"/>
  <c r="AE43" i="1"/>
  <c r="AG43" i="1"/>
  <c r="AH43" i="1"/>
  <c r="B58" i="1"/>
  <c r="C58" i="1"/>
  <c r="G58" i="1"/>
  <c r="H58" i="1"/>
  <c r="J58" i="1"/>
  <c r="K58" i="1"/>
  <c r="L58" i="1"/>
  <c r="O58" i="1"/>
  <c r="P58" i="1"/>
  <c r="Q58" i="1"/>
  <c r="AB58" i="1"/>
  <c r="AA48" i="1" l="1"/>
  <c r="AA53" i="1" s="1"/>
  <c r="V48" i="1"/>
  <c r="V53" i="1" s="1"/>
  <c r="AF44" i="1"/>
  <c r="AA44" i="1"/>
  <c r="AA57" i="4"/>
  <c r="AA58" i="4"/>
  <c r="AA66" i="4" s="1"/>
  <c r="K44" i="1"/>
  <c r="H44" i="1"/>
  <c r="D44" i="1"/>
  <c r="J57" i="4"/>
  <c r="I57" i="4"/>
  <c r="I58" i="4" s="1"/>
  <c r="J58" i="4"/>
  <c r="B59" i="4"/>
  <c r="E53" i="1"/>
  <c r="H48" i="1"/>
  <c r="H53" i="1" s="1"/>
  <c r="U48" i="1"/>
  <c r="G48" i="1"/>
  <c r="G53" i="1" s="1"/>
  <c r="E52" i="4"/>
  <c r="AG52" i="4"/>
  <c r="AF52" i="4"/>
  <c r="AE52" i="4"/>
  <c r="AH52" i="4"/>
  <c r="AD52" i="4"/>
  <c r="T57" i="4"/>
  <c r="V57" i="4"/>
  <c r="X57" i="4"/>
  <c r="Z57" i="4"/>
  <c r="AC57" i="4"/>
  <c r="AE57" i="4"/>
  <c r="AG57" i="4"/>
  <c r="S58" i="4"/>
  <c r="U58" i="4"/>
  <c r="W58" i="4"/>
  <c r="Y58" i="4"/>
  <c r="AB58" i="4"/>
  <c r="AB66" i="4" s="1"/>
  <c r="AD58" i="4"/>
  <c r="AD66" i="4" s="1"/>
  <c r="AF58" i="4"/>
  <c r="AF66" i="4" s="1"/>
  <c r="AH58" i="4"/>
  <c r="AH66" i="4" s="1"/>
  <c r="R58" i="4"/>
  <c r="R66" i="4" s="1"/>
  <c r="R57" i="4"/>
  <c r="S57" i="4"/>
  <c r="S59" i="4" s="1"/>
  <c r="U57" i="4"/>
  <c r="U59" i="4" s="1"/>
  <c r="W57" i="4"/>
  <c r="W59" i="4" s="1"/>
  <c r="Y57" i="4"/>
  <c r="Y59" i="4" s="1"/>
  <c r="AB57" i="4"/>
  <c r="AB59" i="4" s="1"/>
  <c r="AD57" i="4"/>
  <c r="AD59" i="4" s="1"/>
  <c r="AF57" i="4"/>
  <c r="AF59" i="4" s="1"/>
  <c r="AH57" i="4"/>
  <c r="AH59" i="4" s="1"/>
  <c r="T58" i="4"/>
  <c r="T66" i="4" s="1"/>
  <c r="V58" i="4"/>
  <c r="X58" i="4"/>
  <c r="Z58" i="4"/>
  <c r="Z66" i="4" s="1"/>
  <c r="AC58" i="4"/>
  <c r="AE58" i="4"/>
  <c r="AE66" i="4" s="1"/>
  <c r="AG58" i="4"/>
  <c r="AG66" i="4" s="1"/>
  <c r="C56" i="4"/>
  <c r="Y56" i="4"/>
  <c r="AD44" i="1"/>
  <c r="AC44" i="1"/>
  <c r="R44" i="1"/>
  <c r="W44" i="1"/>
  <c r="N44" i="1"/>
  <c r="M44" i="1"/>
  <c r="E44" i="1"/>
  <c r="I44" i="1"/>
  <c r="G66" i="4"/>
  <c r="F52" i="4"/>
  <c r="F44" i="1"/>
  <c r="D52" i="4"/>
  <c r="H52" i="4"/>
  <c r="J52" i="4"/>
  <c r="L52" i="4"/>
  <c r="V52" i="4"/>
  <c r="X52" i="4"/>
  <c r="Z52" i="4"/>
  <c r="AC52" i="4"/>
  <c r="AH44" i="1"/>
  <c r="AE44" i="1"/>
  <c r="Z44" i="1"/>
  <c r="X44" i="1"/>
  <c r="U44" i="1"/>
  <c r="P44" i="1"/>
  <c r="C44" i="1"/>
  <c r="M66" i="4"/>
  <c r="C66" i="4"/>
  <c r="G52" i="4"/>
  <c r="I52" i="4"/>
  <c r="K52" i="4"/>
  <c r="M52" i="4"/>
  <c r="O52" i="4"/>
  <c r="Q52" i="4"/>
  <c r="S52" i="4"/>
  <c r="U52" i="4"/>
  <c r="W52" i="4"/>
  <c r="Y52" i="4"/>
  <c r="AB52" i="4"/>
  <c r="N52" i="4"/>
  <c r="P52" i="4"/>
  <c r="R52" i="4"/>
  <c r="T52" i="4"/>
  <c r="C52" i="4"/>
  <c r="D66" i="4"/>
  <c r="H66" i="4"/>
  <c r="L66" i="4"/>
  <c r="N66" i="4"/>
  <c r="P66" i="4"/>
  <c r="D53" i="1"/>
  <c r="S44" i="1"/>
  <c r="L44" i="1"/>
  <c r="Q44" i="1"/>
  <c r="AG44" i="1"/>
  <c r="AB44" i="1"/>
  <c r="Y44" i="1"/>
  <c r="J44" i="1"/>
  <c r="G44" i="1"/>
  <c r="B53" i="1"/>
  <c r="C53" i="1"/>
  <c r="U53" i="1"/>
  <c r="AB48" i="1"/>
  <c r="AB53" i="1" s="1"/>
  <c r="AI18" i="4"/>
  <c r="J56" i="4" l="1"/>
  <c r="J64" i="4"/>
  <c r="D55" i="1"/>
  <c r="E55" i="1"/>
  <c r="F55" i="1"/>
  <c r="I55" i="1"/>
  <c r="L55" i="1"/>
  <c r="M55" i="1"/>
  <c r="N55" i="1"/>
  <c r="O55" i="1"/>
  <c r="P55" i="1"/>
  <c r="Q55" i="1"/>
  <c r="R55" i="1"/>
  <c r="S55" i="1"/>
  <c r="T55" i="1"/>
  <c r="U55" i="1"/>
  <c r="V55" i="1"/>
  <c r="W55" i="1"/>
  <c r="AB55" i="1"/>
  <c r="AC55" i="1"/>
  <c r="AD55" i="1"/>
  <c r="AE55" i="1"/>
  <c r="AF55" i="1"/>
  <c r="AG55" i="1"/>
  <c r="AH55" i="1"/>
  <c r="C55" i="1"/>
  <c r="G55" i="1"/>
  <c r="J55" i="1"/>
  <c r="Y55" i="1"/>
  <c r="X55" i="1"/>
  <c r="Z55" i="1"/>
  <c r="H55" i="1"/>
  <c r="K55" i="1"/>
  <c r="AA55" i="1"/>
  <c r="AA54" i="1"/>
  <c r="AA59" i="4"/>
  <c r="R59" i="4"/>
  <c r="AG59" i="4"/>
  <c r="AC59" i="4"/>
  <c r="X59" i="4"/>
  <c r="T59" i="4"/>
  <c r="AE59" i="4"/>
  <c r="Z59" i="4"/>
  <c r="V59" i="4"/>
  <c r="AA64" i="4"/>
  <c r="AA56" i="4"/>
  <c r="AA61" i="4" s="1"/>
  <c r="AA55" i="4"/>
  <c r="AA65" i="4" s="1"/>
  <c r="B56" i="4"/>
  <c r="Z56" i="4"/>
  <c r="V56" i="4"/>
  <c r="S56" i="4"/>
  <c r="S64" i="4"/>
  <c r="R64" i="4"/>
  <c r="R56" i="4"/>
  <c r="Q56" i="4"/>
  <c r="Q64" i="4"/>
  <c r="T64" i="4"/>
  <c r="T56" i="4"/>
  <c r="P64" i="4"/>
  <c r="P56" i="4"/>
  <c r="AB64" i="4"/>
  <c r="J66" i="4"/>
  <c r="I66" i="4"/>
  <c r="V54" i="1"/>
  <c r="Z64" i="4"/>
  <c r="Y64" i="4"/>
  <c r="J54" i="1"/>
  <c r="Q54" i="1"/>
  <c r="S54" i="1"/>
  <c r="U54" i="1"/>
  <c r="Z54" i="1"/>
  <c r="AH54" i="1"/>
  <c r="N54" i="1"/>
  <c r="R54" i="1"/>
  <c r="AD54" i="1"/>
  <c r="T54" i="1"/>
  <c r="G54" i="1"/>
  <c r="Y54" i="1"/>
  <c r="AG54" i="1"/>
  <c r="L54" i="1"/>
  <c r="V66" i="4"/>
  <c r="P54" i="1"/>
  <c r="X54" i="1"/>
  <c r="AE54" i="1"/>
  <c r="U66" i="4"/>
  <c r="I54" i="1"/>
  <c r="M54" i="1"/>
  <c r="W54" i="1"/>
  <c r="AC54" i="1"/>
  <c r="AF54" i="1"/>
  <c r="K54" i="1"/>
  <c r="O54" i="1"/>
  <c r="B64" i="4"/>
  <c r="B61" i="4"/>
  <c r="AF56" i="4"/>
  <c r="AF61" i="4" s="1"/>
  <c r="AF55" i="4"/>
  <c r="AF65" i="4" s="1"/>
  <c r="AF64" i="4"/>
  <c r="W64" i="4"/>
  <c r="W56" i="4"/>
  <c r="W61" i="4" s="1"/>
  <c r="O64" i="4"/>
  <c r="O56" i="4"/>
  <c r="O61" i="4" s="1"/>
  <c r="K64" i="4"/>
  <c r="K56" i="4"/>
  <c r="K61" i="4" s="1"/>
  <c r="G64" i="4"/>
  <c r="G56" i="4"/>
  <c r="G61" i="4" s="1"/>
  <c r="C64" i="4"/>
  <c r="C61" i="4"/>
  <c r="AE55" i="4"/>
  <c r="AE65" i="4" s="1"/>
  <c r="AE64" i="4"/>
  <c r="AE56" i="4"/>
  <c r="V64" i="4"/>
  <c r="N56" i="4"/>
  <c r="N61" i="4" s="1"/>
  <c r="N64" i="4"/>
  <c r="F64" i="4"/>
  <c r="F56" i="4"/>
  <c r="F61" i="4" s="1"/>
  <c r="AH56" i="4"/>
  <c r="AH61" i="4" s="1"/>
  <c r="AH55" i="4"/>
  <c r="AH65" i="4" s="1"/>
  <c r="AH64" i="4"/>
  <c r="AD56" i="4"/>
  <c r="AD61" i="4" s="1"/>
  <c r="AD55" i="4"/>
  <c r="AD65" i="4" s="1"/>
  <c r="AD64" i="4"/>
  <c r="U64" i="4"/>
  <c r="U56" i="4"/>
  <c r="U61" i="4" s="1"/>
  <c r="M64" i="4"/>
  <c r="M56" i="4"/>
  <c r="M61" i="4" s="1"/>
  <c r="I64" i="4"/>
  <c r="I56" i="4"/>
  <c r="E64" i="4"/>
  <c r="E56" i="4"/>
  <c r="E61" i="4" s="1"/>
  <c r="AG64" i="4"/>
  <c r="AG55" i="4"/>
  <c r="AG65" i="4" s="1"/>
  <c r="AG56" i="4"/>
  <c r="AC64" i="4"/>
  <c r="X64" i="4"/>
  <c r="X56" i="4"/>
  <c r="P61" i="4"/>
  <c r="L64" i="4"/>
  <c r="L56" i="4"/>
  <c r="L61" i="4" s="1"/>
  <c r="H64" i="4"/>
  <c r="H56" i="4"/>
  <c r="H61" i="4" s="1"/>
  <c r="D64" i="4"/>
  <c r="D56" i="4"/>
  <c r="D61" i="4" s="1"/>
  <c r="F54" i="1"/>
  <c r="F55" i="4"/>
  <c r="F65" i="4" s="1"/>
  <c r="E54" i="1"/>
  <c r="E55" i="4"/>
  <c r="E65" i="4" s="1"/>
  <c r="D54" i="1"/>
  <c r="AC66" i="4"/>
  <c r="X66" i="4"/>
  <c r="Y66" i="4"/>
  <c r="Q66" i="4"/>
  <c r="W66" i="4"/>
  <c r="O66" i="4"/>
  <c r="S66" i="4"/>
  <c r="AB55" i="4"/>
  <c r="AB65" i="4" s="1"/>
  <c r="I55" i="4"/>
  <c r="I65" i="4" s="1"/>
  <c r="Q55" i="4"/>
  <c r="Q65" i="4" s="1"/>
  <c r="Y55" i="4"/>
  <c r="Y65" i="4" s="1"/>
  <c r="AC56" i="4"/>
  <c r="AC55" i="4"/>
  <c r="AC65" i="4" s="1"/>
  <c r="X55" i="4"/>
  <c r="X65" i="4" s="1"/>
  <c r="T55" i="4"/>
  <c r="T65" i="4" s="1"/>
  <c r="P55" i="4"/>
  <c r="P65" i="4" s="1"/>
  <c r="L55" i="4"/>
  <c r="L65" i="4" s="1"/>
  <c r="H55" i="4"/>
  <c r="H65" i="4" s="1"/>
  <c r="AB56" i="4"/>
  <c r="AB61" i="4" s="1"/>
  <c r="G55" i="4"/>
  <c r="G65" i="4" s="1"/>
  <c r="O55" i="4"/>
  <c r="O65" i="4" s="1"/>
  <c r="W55" i="4"/>
  <c r="W65" i="4" s="1"/>
  <c r="C55" i="4"/>
  <c r="C65" i="4" s="1"/>
  <c r="M55" i="4"/>
  <c r="M65" i="4" s="1"/>
  <c r="U55" i="4"/>
  <c r="U65" i="4" s="1"/>
  <c r="B55" i="4"/>
  <c r="B65" i="4" s="1"/>
  <c r="Z55" i="4"/>
  <c r="Z65" i="4" s="1"/>
  <c r="V55" i="4"/>
  <c r="V65" i="4" s="1"/>
  <c r="R55" i="4"/>
  <c r="R65" i="4" s="1"/>
  <c r="N55" i="4"/>
  <c r="N65" i="4" s="1"/>
  <c r="J55" i="4"/>
  <c r="J65" i="4" s="1"/>
  <c r="D55" i="4"/>
  <c r="D65" i="4" s="1"/>
  <c r="S55" i="4"/>
  <c r="S65" i="4" s="1"/>
  <c r="K55" i="4"/>
  <c r="K65" i="4" s="1"/>
  <c r="C54" i="1"/>
  <c r="H54" i="1"/>
  <c r="AB54" i="1"/>
  <c r="AA62" i="4" l="1"/>
  <c r="AA63" i="4"/>
  <c r="C63" i="4"/>
  <c r="P63" i="4"/>
  <c r="N63" i="4"/>
  <c r="AB63" i="4"/>
  <c r="W63" i="4"/>
  <c r="U63" i="4"/>
  <c r="O63" i="4"/>
  <c r="M63" i="4"/>
  <c r="K63" i="4"/>
  <c r="G63" i="4"/>
  <c r="L63" i="4"/>
  <c r="H63" i="4"/>
  <c r="D63" i="4"/>
  <c r="F63" i="4"/>
  <c r="AD63" i="4"/>
  <c r="AH63" i="4"/>
  <c r="AF63" i="4"/>
  <c r="E63" i="4"/>
  <c r="I59" i="4"/>
  <c r="I61" i="4" s="1"/>
  <c r="I63" i="4" s="1"/>
  <c r="J59" i="4"/>
  <c r="J61" i="4" s="1"/>
  <c r="J63" i="4" s="1"/>
  <c r="Z61" i="4"/>
  <c r="S61" i="4"/>
  <c r="AG61" i="4"/>
  <c r="AG63" i="4" s="1"/>
  <c r="AC61" i="4"/>
  <c r="AC63" i="4" s="1"/>
  <c r="R61" i="4"/>
  <c r="V61" i="4"/>
  <c r="AE61" i="4"/>
  <c r="AE63" i="4" s="1"/>
  <c r="T61" i="4"/>
  <c r="X61" i="4"/>
  <c r="G62" i="4"/>
  <c r="AD62" i="4"/>
  <c r="AH62" i="4"/>
  <c r="AF62" i="4"/>
  <c r="F62" i="4"/>
  <c r="E62" i="4"/>
  <c r="U62" i="4"/>
  <c r="Y61" i="4"/>
  <c r="Y63" i="4" s="1"/>
  <c r="Q61" i="4"/>
  <c r="Q63" i="4" s="1"/>
  <c r="M62" i="4"/>
  <c r="K62" i="4"/>
  <c r="D62" i="4"/>
  <c r="C62" i="4"/>
  <c r="O62" i="4"/>
  <c r="W62" i="4"/>
  <c r="P62" i="4"/>
  <c r="N62" i="4"/>
  <c r="AB62" i="4"/>
  <c r="H62" i="4"/>
  <c r="L62" i="4"/>
  <c r="X62" i="4" l="1"/>
  <c r="X63" i="4"/>
  <c r="T62" i="4"/>
  <c r="T63" i="4"/>
  <c r="V62" i="4"/>
  <c r="V63" i="4"/>
  <c r="R62" i="4"/>
  <c r="R63" i="4"/>
  <c r="S62" i="4"/>
  <c r="S63" i="4"/>
  <c r="Z62" i="4"/>
  <c r="Z63" i="4"/>
  <c r="I62" i="4"/>
  <c r="J62" i="4"/>
  <c r="AC62" i="4"/>
  <c r="AG62" i="4"/>
  <c r="Q62" i="4"/>
  <c r="AE62" i="4"/>
  <c r="Y62" i="4"/>
</calcChain>
</file>

<file path=xl/sharedStrings.xml><?xml version="1.0" encoding="utf-8"?>
<sst xmlns="http://schemas.openxmlformats.org/spreadsheetml/2006/main" count="497" uniqueCount="183">
  <si>
    <t>Bezeichnung</t>
  </si>
  <si>
    <t>Investition</t>
  </si>
  <si>
    <t>Kosteneinsparung nach 20 Jahren</t>
  </si>
  <si>
    <t>Autarkie Wärme</t>
  </si>
  <si>
    <t>Holzvergaser</t>
  </si>
  <si>
    <t>Autarkie Strom</t>
  </si>
  <si>
    <t>Förderung</t>
  </si>
  <si>
    <t>Luft-Wärmepumpe</t>
  </si>
  <si>
    <t>Erd-Wärmepumpe</t>
  </si>
  <si>
    <t>Nutzwärme</t>
  </si>
  <si>
    <t>fossil</t>
  </si>
  <si>
    <t>erneuerbar</t>
  </si>
  <si>
    <t xml:space="preserve">Photovoltaik und </t>
  </si>
  <si>
    <t>und Speicher</t>
  </si>
  <si>
    <t xml:space="preserve">Holzheizung und </t>
  </si>
  <si>
    <t>Solarthermie</t>
  </si>
  <si>
    <t>wärmepumpe</t>
  </si>
  <si>
    <t>und Solarthermie</t>
  </si>
  <si>
    <t>und Photovoltaik</t>
  </si>
  <si>
    <t>Wärmeerzeuger</t>
  </si>
  <si>
    <t>Schornstein</t>
  </si>
  <si>
    <t>Gasanschluss</t>
  </si>
  <si>
    <t>Heizsystem</t>
  </si>
  <si>
    <t>Photovoltaik</t>
  </si>
  <si>
    <t>Batteriespeicher</t>
  </si>
  <si>
    <t>verbleibende Investition</t>
  </si>
  <si>
    <t>Stromverbrauch</t>
  </si>
  <si>
    <t>kWh/a</t>
  </si>
  <si>
    <t>B</t>
  </si>
  <si>
    <t>Einstufung im Energieausweis</t>
  </si>
  <si>
    <t>A</t>
  </si>
  <si>
    <t>A+</t>
  </si>
  <si>
    <t>Variante 1 a</t>
  </si>
  <si>
    <t>Variante 3 a</t>
  </si>
  <si>
    <t>Variante 3 b</t>
  </si>
  <si>
    <t>Variante 4 a</t>
  </si>
  <si>
    <t>Variante 4 b</t>
  </si>
  <si>
    <t>Variante 6 a</t>
  </si>
  <si>
    <t>Variante 6 b</t>
  </si>
  <si>
    <t>Variante 9</t>
  </si>
  <si>
    <t>Variante 10 a</t>
  </si>
  <si>
    <t>Variante 10 b</t>
  </si>
  <si>
    <t>Variante 10 c</t>
  </si>
  <si>
    <t>Variante 10 d</t>
  </si>
  <si>
    <t>Variante 11 a</t>
  </si>
  <si>
    <t>Variante 11 b</t>
  </si>
  <si>
    <t>C</t>
  </si>
  <si>
    <t>Variante 6 c</t>
  </si>
  <si>
    <t>Brennwertkessel</t>
  </si>
  <si>
    <t>Variante 2 b</t>
  </si>
  <si>
    <t xml:space="preserve">BHKW mit </t>
  </si>
  <si>
    <t>Brennstoffzelle</t>
  </si>
  <si>
    <t>Solare Heizungs-</t>
  </si>
  <si>
    <t>unterstützung</t>
  </si>
  <si>
    <t>Amortisationszeit (a - Jahre)</t>
  </si>
  <si>
    <t>CO2 (t/a - Tonnen pro Jahr)</t>
  </si>
  <si>
    <t>Endenergie (kWh/a - kWh pro Jahr)</t>
  </si>
  <si>
    <t>Globalstrahlung</t>
  </si>
  <si>
    <t>kWh/m²a</t>
  </si>
  <si>
    <t>Gaspreis</t>
  </si>
  <si>
    <t>Strompreis</t>
  </si>
  <si>
    <t>Cent/kWh</t>
  </si>
  <si>
    <t>WP-Strompreis</t>
  </si>
  <si>
    <t>Umrechnungsfaktoren</t>
  </si>
  <si>
    <t>Strom</t>
  </si>
  <si>
    <t>Holzpreis</t>
  </si>
  <si>
    <t>Pelletpreis</t>
  </si>
  <si>
    <t>€/ rm</t>
  </si>
  <si>
    <t>€/ t</t>
  </si>
  <si>
    <t>kWh/rm</t>
  </si>
  <si>
    <t>kWh/t</t>
  </si>
  <si>
    <t>ct/kWh</t>
  </si>
  <si>
    <t>Fernwärmepreis</t>
  </si>
  <si>
    <t>CO2-Faktoren:</t>
  </si>
  <si>
    <t>Gas</t>
  </si>
  <si>
    <t>Holz</t>
  </si>
  <si>
    <t>Pellet</t>
  </si>
  <si>
    <t>Fernwärme</t>
  </si>
  <si>
    <t>kg/kWh</t>
  </si>
  <si>
    <t>Fernwärme EE</t>
  </si>
  <si>
    <t>Ausgangswerte:</t>
  </si>
  <si>
    <t>Pelletkessel</t>
  </si>
  <si>
    <t>Variante 1 b</t>
  </si>
  <si>
    <t>Variante 2 a</t>
  </si>
  <si>
    <t>Ist-Zustand</t>
  </si>
  <si>
    <t>Heizungs-</t>
  </si>
  <si>
    <t>optimierung</t>
  </si>
  <si>
    <t>H</t>
  </si>
  <si>
    <t>Variante 0 a</t>
  </si>
  <si>
    <t>Öl-</t>
  </si>
  <si>
    <t>Variante 0 b</t>
  </si>
  <si>
    <t>Gas-</t>
  </si>
  <si>
    <t>G</t>
  </si>
  <si>
    <t>außerhalb der</t>
  </si>
  <si>
    <t>thermischen Hülle</t>
  </si>
  <si>
    <t>Variante 0 c</t>
  </si>
  <si>
    <t>innerhalb der</t>
  </si>
  <si>
    <t>Brennstofflager</t>
  </si>
  <si>
    <t>Wasserspeicher</t>
  </si>
  <si>
    <t>Instandhaltungsanteil</t>
  </si>
  <si>
    <t>mit Heizkörpern</t>
  </si>
  <si>
    <t>D</t>
  </si>
  <si>
    <t>Variante 4 c</t>
  </si>
  <si>
    <t>Variante 5 a</t>
  </si>
  <si>
    <t>Solare Brauch-</t>
  </si>
  <si>
    <t>wasseranlage</t>
  </si>
  <si>
    <t>Variante 5 b</t>
  </si>
  <si>
    <t>und Öl-Brennwert</t>
  </si>
  <si>
    <t>Brauchwasser-WP</t>
  </si>
  <si>
    <t>solare Heizungs-</t>
  </si>
  <si>
    <t>Variante 8 b</t>
  </si>
  <si>
    <t>Gas-Hybrid-</t>
  </si>
  <si>
    <t>Variante 8 c</t>
  </si>
  <si>
    <t>Variante 7 a</t>
  </si>
  <si>
    <t>Variante 7 b</t>
  </si>
  <si>
    <t xml:space="preserve">Pelletheizung und </t>
  </si>
  <si>
    <t>und Batterie-</t>
  </si>
  <si>
    <t>Variante 8 d</t>
  </si>
  <si>
    <t>Öl-Heizung</t>
  </si>
  <si>
    <t>Brauchwasser</t>
  </si>
  <si>
    <t>Variante 8 a</t>
  </si>
  <si>
    <t>Motor</t>
  </si>
  <si>
    <t>Speicher</t>
  </si>
  <si>
    <t>Ölpreis</t>
  </si>
  <si>
    <t>Öl</t>
  </si>
  <si>
    <t>Energiekosten pro Jahr</t>
  </si>
  <si>
    <t>Stromproduktion pro Jahr</t>
  </si>
  <si>
    <t>Stromerlös pro Jahr</t>
  </si>
  <si>
    <t>Wartungskosten etc. pro Jahr</t>
  </si>
  <si>
    <t>Betriebskosten pro Jahr</t>
  </si>
  <si>
    <t>Wärme pro Jahr</t>
  </si>
  <si>
    <t>Strom pro Jahr</t>
  </si>
  <si>
    <t>Investition im Vergleich</t>
  </si>
  <si>
    <t>davon Strom selbstgenutzt</t>
  </si>
  <si>
    <t>mit Fußboden-</t>
  </si>
  <si>
    <t>heizung</t>
  </si>
  <si>
    <t xml:space="preserve"> Investitionskosten: höchstens 5.000 € Zusatzkosten</t>
  </si>
  <si>
    <t xml:space="preserve"> Kohlendioxidbelastung: höchstens 2 Tonnen jährlich</t>
  </si>
  <si>
    <t>Betriebskosten: höchstens 1.500 € jährlich</t>
  </si>
  <si>
    <t>Autarkie Wärme: mindestens 50 Prozent</t>
  </si>
  <si>
    <t>Kosteneinsparung: mindestens 5.000 € über 20 Jahre</t>
  </si>
  <si>
    <t>Autarkie Strom: mindestens 50 Prozent</t>
  </si>
  <si>
    <t>Amortisationszeit: höchstens 10 Jahre</t>
  </si>
  <si>
    <t>Ölverbrauch</t>
  </si>
  <si>
    <t>Liter</t>
  </si>
  <si>
    <t xml:space="preserve">Haustechnikvarianten beim Altbau Schulte </t>
  </si>
  <si>
    <t>In diesen Feldern stehen die im Ratgeber dokumentierten Vorgabewerte</t>
  </si>
  <si>
    <t>grüne Schriftfarbe</t>
  </si>
  <si>
    <t>rote Schriftfarbe</t>
  </si>
  <si>
    <t>Bei dieser Varianten ist die Investition geringer als im Ist-Zustand</t>
  </si>
  <si>
    <t>In dieser Zeile ist die Variante ungünstiger als der Ist-Zustand</t>
  </si>
  <si>
    <t>Haustechnikvarianten bei Ölheizung</t>
  </si>
  <si>
    <t>Tabelle 4:</t>
  </si>
  <si>
    <t>Bitte eigene Werte eintragen</t>
  </si>
  <si>
    <t>Einspeisevergütung</t>
  </si>
  <si>
    <t>und Batterie</t>
  </si>
  <si>
    <t>Variante 8 e</t>
  </si>
  <si>
    <t>Pellet-Hybrid-</t>
  </si>
  <si>
    <t>und Gas-Brennwert</t>
  </si>
  <si>
    <t>Förderfähig für BEG EM</t>
  </si>
  <si>
    <t>Förderung BEG EM</t>
  </si>
  <si>
    <t xml:space="preserve">sonstige Förderung </t>
  </si>
  <si>
    <t>Sonstige Förderung</t>
  </si>
  <si>
    <t>Förderung Land/ Kommune</t>
  </si>
  <si>
    <t>Die Förderung bezieht sich auf die neue Bundesförderung für effiziente Gebäude (BEG) ab 01.01.2023</t>
  </si>
  <si>
    <r>
      <t>Energiepreise Stand Januar 2023 teilweise orientiert an den Preisdeckeln,</t>
    </r>
    <r>
      <rPr>
        <sz val="10"/>
        <rFont val="Arial"/>
      </rPr>
      <t xml:space="preserve"> ohne Preissteigerung</t>
    </r>
  </si>
  <si>
    <t>Energiepreise Stand Januar 2023 teilweise orientiert an den Preisdeckeln, ohne Preissteigerung</t>
  </si>
  <si>
    <t>Grünes Gas für Brennstoffzelle</t>
  </si>
  <si>
    <t>Grünes Gas</t>
  </si>
  <si>
    <t>Umrechnungsfaktor</t>
  </si>
  <si>
    <t xml:space="preserve"> </t>
  </si>
  <si>
    <t>Vollständige Tabelle mit allen Varianten (zur Tabelle im "Ratgeber Heizung", Seite 190/191)  - Stand 18.03.2023</t>
  </si>
  <si>
    <t>Tragen Sie hier Ihre individuellen Werte ein  - Stand 18.03.2023 - Ergänzung 06.01.2024</t>
  </si>
  <si>
    <t>Sie können bei der  Bundesförderung für effiziente Gebäude (BEG) zwischen den Bedingungen vor und nach dem 01.01.2024 wählen und bei der neuen Förderung Ihre individuellen Bedingungen eingeben. Die Werte der alten Förderung beziehen sich auf die im Buch vorgegbenen Bedingungen.</t>
  </si>
  <si>
    <t>maximale förderfähige Kosten BEG neu</t>
  </si>
  <si>
    <t>Fördersatz BEG neu</t>
  </si>
  <si>
    <t>Förderfähig BEG neu</t>
  </si>
  <si>
    <t>Förderung BEG neu</t>
  </si>
  <si>
    <t>Förderfähig für BEG EM alt</t>
  </si>
  <si>
    <t>Förderung BEG EM alt</t>
  </si>
  <si>
    <t>Förderung BEG EM ab 01.01.2024</t>
  </si>
  <si>
    <t>j oder n eingeben</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</si>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</sst>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164" formatCode="#,##0\ &quot;€&quot;"/>
    <numFmt numFmtId="165" formatCode="#,##0\ &quot;kWh/a&quot;"/>
    <numFmt numFmtId="166" formatCode="0.0\ &quot;t/a&quot;"/>
    <numFmt numFmtId="167" formatCode="0.0\ &quot;a&quot;"/>
    <numFmt numFmtId="168" formatCode="0\ \ &quot;a&quot;"/>
    <numFmt numFmtId="169" formatCode="0.0\ \ &quot;a&quot;"/>
    <numFmt numFmtId="170" formatCode="#,##0.0"/>
    <numFmt numFmtId="171" formatCode="#,##0.000"/>
    <numFmt numFmtId="172" formatCode="#,##0.000\ &quot;Cent/kWh&quot;"/>
    <numFmt numFmtId="173" formatCode="0.0"/>
    <numFmt numFmtId="174" formatCode="0.000"/>
  </numFmts>
  <fonts count="14" x14ac:knownFonts="1">
    <font>
      <sz val="10"/>
      <name val="Arial"/>
    </font>
    <font>
      <b/>
      <sz val="10"/>
      <name val="Arial"/>
      <family val="2"/>
    </font>
    <font>
      <b/>
      <sz val="18"/>
      <name val="Arial"/>
      <family val="2"/>
    </font>
    <font>
      <sz val="10"/>
      <name val="Arial"/>
      <family val="2"/>
    </font>
    <font>
      <sz val="10"/>
      <color indexed="8"/>
      <name val="Arial"/>
      <family val="2"/>
    </font>
    <font>
      <sz val="10"/>
      <color theme="1"/>
      <name val="Arial"/>
      <family val="2"/>
    </font>
    <font>
      <sz val="10"/>
      <color rgb="FFFF0000"/>
      <name val="Arial"/>
      <family val="2"/>
    </font>
    <font>
      <sz val="12"/>
      <name val="Arial"/>
      <family val="2"/>
    </font>
    <font>
      <sz val="10"/>
      <color rgb="FF339933"/>
      <name val="Arial"/>
      <family val="2"/>
    </font>
    <font>
      <sz val="10"/>
      <color theme="1" tint="0.499984740745262"/>
      <name val="Arial"/>
      <family val="2"/>
    </font>
    <font>
      <b/>
      <sz val="10"/>
      <color theme="1" tint="0.499984740745262"/>
      <name val="Arial"/>
      <family val="2"/>
    </font>
    <font>
      <sz val="10"/>
      <color theme="0"/>
      <name val="Arial"/>
      <family val="2"/>
    </font>
    <font>
      <b/>
      <sz val="18"/>
      <color theme="0"/>
      <name val="Arial"/>
      <family val="2"/>
    </font>
    <font>
      <b/>
      <sz val="10"/>
      <color theme="0"/>
      <name val="Arial"/>
      <family val="2"/>
    </font>
  </fonts>
  <fills count="13">
    <fill>
      <patternFill patternType="none"/>
    </fill>
    <fill>
      <patternFill patternType="gray125"/>
    </fill>
    <fill>
      <patternFill patternType="solid">
        <fgColor rgb="FFFFFFAF"/>
        <bgColor indexed="64"/>
      </patternFill>
    </fill>
    <fill>
      <patternFill patternType="solid">
        <fgColor theme="2"/>
        <bgColor indexed="64"/>
      </patternFill>
    </fill>
    <fill>
      <patternFill patternType="solid">
        <fgColor rgb="FF92D050"/>
        <bgColor indexed="64"/>
      </patternFill>
    </fill>
    <fill>
      <patternFill patternType="solid">
        <fgColor indexed="29"/>
        <bgColor indexed="64"/>
      </patternFill>
    </fill>
    <fill>
      <patternFill patternType="solid">
        <fgColor rgb="FF5DD5FF"/>
        <bgColor indexed="64"/>
      </patternFill>
    </fill>
    <fill>
      <patternFill patternType="solid">
        <fgColor indexed="52"/>
        <bgColor indexed="64"/>
      </patternFill>
    </fill>
    <fill>
      <patternFill patternType="solid">
        <fgColor rgb="FFFF3399"/>
        <bgColor indexed="64"/>
      </patternFill>
    </fill>
    <fill>
      <patternFill patternType="solid">
        <fgColor indexed="13"/>
        <bgColor indexed="64"/>
      </patternFill>
    </fill>
    <fill>
      <patternFill patternType="solid">
        <fgColor rgb="FF934BC9"/>
        <bgColor indexed="64"/>
      </patternFill>
    </fill>
    <fill>
      <patternFill patternType="solid">
        <fgColor rgb="FFE1F0FF"/>
        <bgColor indexed="64"/>
      </patternFill>
    </fill>
    <fill>
      <patternFill patternType="solid">
        <fgColor theme="0"/>
        <bgColor indexed="64"/>
      </patternFill>
    </fill>
  </fills>
  <borders count="29">
    <border>
      <left/>
      <right/>
      <top/>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style="thin">
        <color indexed="64"/>
      </top>
      <bottom style="hair">
        <color indexed="64"/>
      </bottom>
      <diagonal/>
    </border>
    <border>
      <left style="hair">
        <color auto="1"/>
      </left>
      <right style="hair">
        <color auto="1"/>
      </right>
      <top style="hair">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thin">
        <color auto="1"/>
      </bottom>
      <diagonal/>
    </border>
  </borders>
  <cellStyleXfs count="1">
    <xf numFmtId="0" fontId="0" fillId="0" borderId="0"/>
  </cellStyleXfs>
  <cellXfs count="141">
    <xf numFmtId="0" fontId="0" fillId="0" borderId="0" xfId="0"/>
    <xf numFmtId="0" fontId="1" fillId="0" borderId="0" xfId="0" applyFont="1"/>
    <xf numFmtId="0" fontId="2" fillId="0" borderId="0" xfId="0" applyFont="1"/>
    <xf numFmtId="164" fontId="0" fillId="0" borderId="0" xfId="0" applyNumberFormat="1"/>
    <xf numFmtId="9" fontId="0" fillId="0" borderId="0" xfId="0" applyNumberFormat="1"/>
    <xf numFmtId="166" fontId="0" fillId="0" borderId="0" xfId="0" applyNumberFormat="1"/>
    <xf numFmtId="6" fontId="0" fillId="0" borderId="0" xfId="0" applyNumberFormat="1"/>
    <xf numFmtId="0" fontId="2" fillId="0" borderId="0" xfId="0" applyFont="1" applyAlignment="1">
      <alignment horizontal="right"/>
    </xf>
    <xf numFmtId="0" fontId="7" fillId="0" borderId="0" xfId="0" applyFont="1"/>
    <xf numFmtId="0" fontId="0" fillId="11" borderId="0" xfId="0" applyFill="1"/>
    <xf numFmtId="0" fontId="0" fillId="11" borderId="3" xfId="0" applyFill="1" applyBorder="1"/>
    <xf numFmtId="0" fontId="0" fillId="11" borderId="4" xfId="0" applyFill="1" applyBorder="1"/>
    <xf numFmtId="0" fontId="0" fillId="11" borderId="5" xfId="0" applyFill="1" applyBorder="1"/>
    <xf numFmtId="0" fontId="0" fillId="11" borderId="6" xfId="0" applyFill="1" applyBorder="1"/>
    <xf numFmtId="0" fontId="0" fillId="11" borderId="7" xfId="0" applyFill="1" applyBorder="1"/>
    <xf numFmtId="0" fontId="0" fillId="11" borderId="8" xfId="0" applyFill="1" applyBorder="1"/>
    <xf numFmtId="0" fontId="0" fillId="11" borderId="9" xfId="0" applyFill="1" applyBorder="1"/>
    <xf numFmtId="0" fontId="0" fillId="11" borderId="10" xfId="0" applyFill="1" applyBorder="1"/>
    <xf numFmtId="0" fontId="1" fillId="11" borderId="3" xfId="0" applyFont="1" applyFill="1" applyBorder="1"/>
    <xf numFmtId="0" fontId="1" fillId="11" borderId="6" xfId="0" applyFont="1" applyFill="1" applyBorder="1"/>
    <xf numFmtId="0" fontId="1" fillId="11" borderId="8" xfId="0" applyFont="1" applyFill="1" applyBorder="1"/>
    <xf numFmtId="0" fontId="1" fillId="11" borderId="11" xfId="0" applyFont="1" applyFill="1" applyBorder="1"/>
    <xf numFmtId="0" fontId="0" fillId="11" borderId="12" xfId="0" applyFill="1" applyBorder="1"/>
    <xf numFmtId="0" fontId="0" fillId="11" borderId="13" xfId="0" applyFill="1" applyBorder="1"/>
    <xf numFmtId="0" fontId="0" fillId="11" borderId="11" xfId="0" applyFill="1" applyBorder="1"/>
    <xf numFmtId="0" fontId="1" fillId="0" borderId="1" xfId="0" applyFont="1" applyBorder="1"/>
    <xf numFmtId="164" fontId="1" fillId="0" borderId="1" xfId="0" applyNumberFormat="1" applyFont="1" applyBorder="1"/>
    <xf numFmtId="0" fontId="1" fillId="3" borderId="1" xfId="0" applyFont="1" applyFill="1" applyBorder="1"/>
    <xf numFmtId="0" fontId="1" fillId="3" borderId="1" xfId="0" applyFont="1" applyFill="1" applyBorder="1" applyAlignment="1">
      <alignment horizontal="center"/>
    </xf>
    <xf numFmtId="164" fontId="0" fillId="0" borderId="1" xfId="0" applyNumberFormat="1" applyBorder="1"/>
    <xf numFmtId="0" fontId="1" fillId="0" borderId="15" xfId="0" applyFont="1" applyBorder="1"/>
    <xf numFmtId="164" fontId="1" fillId="0" borderId="15" xfId="0" applyNumberFormat="1" applyFont="1" applyBorder="1"/>
    <xf numFmtId="6" fontId="1" fillId="0" borderId="15" xfId="0" applyNumberFormat="1" applyFont="1" applyBorder="1"/>
    <xf numFmtId="165" fontId="1" fillId="0" borderId="15" xfId="0" applyNumberFormat="1" applyFont="1" applyBorder="1"/>
    <xf numFmtId="167" fontId="1" fillId="0" borderId="15" xfId="0" applyNumberFormat="1" applyFont="1" applyBorder="1"/>
    <xf numFmtId="0" fontId="1" fillId="0" borderId="16" xfId="0" applyFont="1" applyBorder="1"/>
    <xf numFmtId="0" fontId="1" fillId="0" borderId="14" xfId="0" applyFont="1" applyBorder="1"/>
    <xf numFmtId="164" fontId="0" fillId="0" borderId="14" xfId="0" applyNumberFormat="1" applyBorder="1"/>
    <xf numFmtId="164" fontId="0" fillId="11" borderId="17" xfId="0" applyNumberFormat="1" applyFill="1" applyBorder="1"/>
    <xf numFmtId="164" fontId="0" fillId="11" borderId="18" xfId="0" applyNumberFormat="1" applyFill="1" applyBorder="1"/>
    <xf numFmtId="164" fontId="1" fillId="11" borderId="17" xfId="0" applyNumberFormat="1" applyFont="1" applyFill="1" applyBorder="1"/>
    <xf numFmtId="164" fontId="1" fillId="11" borderId="18" xfId="0" applyNumberFormat="1" applyFont="1" applyFill="1" applyBorder="1"/>
    <xf numFmtId="0" fontId="1" fillId="0" borderId="17" xfId="0" applyFont="1" applyBorder="1"/>
    <xf numFmtId="165" fontId="0" fillId="0" borderId="17" xfId="0" applyNumberFormat="1" applyBorder="1"/>
    <xf numFmtId="165" fontId="4" fillId="0" borderId="17" xfId="0" applyNumberFormat="1" applyFont="1" applyBorder="1"/>
    <xf numFmtId="0" fontId="1" fillId="0" borderId="2" xfId="0" applyFont="1" applyBorder="1"/>
    <xf numFmtId="165" fontId="0" fillId="0" borderId="2" xfId="0" applyNumberFormat="1" applyBorder="1"/>
    <xf numFmtId="165" fontId="4" fillId="0" borderId="2" xfId="0" applyNumberFormat="1" applyFont="1" applyBorder="1"/>
    <xf numFmtId="164" fontId="0" fillId="0" borderId="2" xfId="0" applyNumberFormat="1" applyBorder="1"/>
    <xf numFmtId="164" fontId="4" fillId="0" borderId="2" xfId="0" applyNumberFormat="1" applyFont="1" applyBorder="1"/>
    <xf numFmtId="164" fontId="1" fillId="0" borderId="14" xfId="0" applyNumberFormat="1" applyFont="1" applyBorder="1"/>
    <xf numFmtId="164" fontId="3" fillId="0" borderId="14" xfId="0" applyNumberFormat="1" applyFont="1" applyBorder="1"/>
    <xf numFmtId="6" fontId="0" fillId="0" borderId="14" xfId="0" applyNumberFormat="1" applyBorder="1"/>
    <xf numFmtId="168" fontId="0" fillId="0" borderId="14" xfId="0" applyNumberFormat="1" applyBorder="1"/>
    <xf numFmtId="169" fontId="4" fillId="0" borderId="14" xfId="0" applyNumberFormat="1" applyFont="1" applyBorder="1"/>
    <xf numFmtId="166" fontId="0" fillId="0" borderId="14" xfId="0" applyNumberFormat="1" applyBorder="1"/>
    <xf numFmtId="9" fontId="0" fillId="0" borderId="14" xfId="0" applyNumberFormat="1" applyBorder="1"/>
    <xf numFmtId="9" fontId="0" fillId="0" borderId="14" xfId="0" applyNumberFormat="1" applyBorder="1" applyAlignment="1">
      <alignment horizontal="center"/>
    </xf>
    <xf numFmtId="9" fontId="4" fillId="0" borderId="14" xfId="0" applyNumberFormat="1" applyFont="1" applyBorder="1" applyAlignment="1">
      <alignment horizontal="center"/>
    </xf>
    <xf numFmtId="6" fontId="0" fillId="11" borderId="19" xfId="0" applyNumberFormat="1" applyFill="1" applyBorder="1"/>
    <xf numFmtId="0" fontId="3" fillId="0" borderId="20" xfId="0" applyFont="1" applyBorder="1"/>
    <xf numFmtId="0" fontId="0" fillId="0" borderId="20" xfId="0" applyBorder="1"/>
    <xf numFmtId="0" fontId="0" fillId="0" borderId="21" xfId="0" applyBorder="1"/>
    <xf numFmtId="0" fontId="8" fillId="0" borderId="22" xfId="0" applyFont="1" applyBorder="1"/>
    <xf numFmtId="0" fontId="3" fillId="0" borderId="0" xfId="0" applyFont="1"/>
    <xf numFmtId="0" fontId="0" fillId="0" borderId="23" xfId="0" applyBorder="1"/>
    <xf numFmtId="0" fontId="6" fillId="0" borderId="24" xfId="0" applyFont="1" applyBorder="1"/>
    <xf numFmtId="0" fontId="3" fillId="0" borderId="25" xfId="0" applyFont="1" applyBorder="1"/>
    <xf numFmtId="0" fontId="0" fillId="0" borderId="25" xfId="0" applyBorder="1"/>
    <xf numFmtId="0" fontId="0" fillId="0" borderId="26" xfId="0" applyBorder="1"/>
    <xf numFmtId="6" fontId="0" fillId="5" borderId="19" xfId="0" applyNumberFormat="1" applyFill="1" applyBorder="1"/>
    <xf numFmtId="166" fontId="0" fillId="6" borderId="20" xfId="0" applyNumberFormat="1" applyFill="1" applyBorder="1"/>
    <xf numFmtId="6" fontId="0" fillId="0" borderId="20" xfId="0" applyNumberFormat="1" applyBorder="1"/>
    <xf numFmtId="164" fontId="0" fillId="7" borderId="22" xfId="0" applyNumberFormat="1" applyFill="1" applyBorder="1"/>
    <xf numFmtId="9" fontId="0" fillId="8" borderId="0" xfId="0" applyNumberFormat="1" applyFill="1"/>
    <xf numFmtId="6" fontId="0" fillId="9" borderId="22" xfId="0" applyNumberFormat="1" applyFill="1" applyBorder="1"/>
    <xf numFmtId="9" fontId="0" fillId="10" borderId="0" xfId="0" applyNumberFormat="1" applyFill="1"/>
    <xf numFmtId="168" fontId="4" fillId="4" borderId="24" xfId="0" applyNumberFormat="1" applyFont="1" applyFill="1" applyBorder="1"/>
    <xf numFmtId="0" fontId="7" fillId="12" borderId="0" xfId="0" applyFont="1" applyFill="1"/>
    <xf numFmtId="170" fontId="0" fillId="2" borderId="2" xfId="0" applyNumberFormat="1" applyFill="1" applyBorder="1" applyProtection="1">
      <protection locked="0"/>
    </xf>
    <xf numFmtId="173" fontId="0" fillId="11" borderId="12" xfId="0" applyNumberFormat="1" applyFill="1" applyBorder="1"/>
    <xf numFmtId="0" fontId="9" fillId="11" borderId="4" xfId="0" applyFont="1" applyFill="1" applyBorder="1"/>
    <xf numFmtId="3" fontId="0" fillId="2" borderId="2" xfId="0" applyNumberFormat="1" applyFill="1" applyBorder="1" applyProtection="1">
      <protection locked="0"/>
    </xf>
    <xf numFmtId="0" fontId="3" fillId="11" borderId="2" xfId="0" applyFont="1" applyFill="1" applyBorder="1"/>
    <xf numFmtId="0" fontId="0" fillId="11" borderId="2" xfId="0" applyFill="1" applyBorder="1"/>
    <xf numFmtId="0" fontId="9" fillId="11" borderId="12" xfId="0" applyFont="1" applyFill="1" applyBorder="1"/>
    <xf numFmtId="4" fontId="0" fillId="2" borderId="2" xfId="0" applyNumberFormat="1" applyFill="1" applyBorder="1" applyProtection="1">
      <protection locked="0"/>
    </xf>
    <xf numFmtId="3" fontId="5" fillId="11" borderId="2" xfId="0" applyNumberFormat="1" applyFont="1" applyFill="1" applyBorder="1"/>
    <xf numFmtId="0" fontId="9" fillId="11" borderId="13" xfId="0" applyFont="1" applyFill="1" applyBorder="1"/>
    <xf numFmtId="0" fontId="10" fillId="11" borderId="4" xfId="0" applyFont="1" applyFill="1" applyBorder="1"/>
    <xf numFmtId="0" fontId="1" fillId="11" borderId="2" xfId="0" applyFont="1" applyFill="1" applyBorder="1"/>
    <xf numFmtId="171" fontId="0" fillId="2" borderId="12" xfId="0" applyNumberFormat="1" applyFill="1" applyBorder="1" applyProtection="1">
      <protection locked="0"/>
    </xf>
    <xf numFmtId="0" fontId="10" fillId="11" borderId="11" xfId="0" applyFont="1" applyFill="1" applyBorder="1"/>
    <xf numFmtId="0" fontId="9" fillId="11" borderId="11" xfId="0" applyFont="1" applyFill="1" applyBorder="1"/>
    <xf numFmtId="172" fontId="5" fillId="11" borderId="12" xfId="0" applyNumberFormat="1" applyFont="1" applyFill="1" applyBorder="1" applyAlignment="1">
      <alignment horizontal="left"/>
    </xf>
    <xf numFmtId="3" fontId="9" fillId="11" borderId="11" xfId="0" applyNumberFormat="1" applyFont="1" applyFill="1" applyBorder="1"/>
    <xf numFmtId="164" fontId="0" fillId="2" borderId="1" xfId="0" applyNumberFormat="1" applyFill="1" applyBorder="1" applyProtection="1">
      <protection locked="0"/>
    </xf>
    <xf numFmtId="164" fontId="0" fillId="0" borderId="17" xfId="0" applyNumberFormat="1" applyBorder="1"/>
    <xf numFmtId="164" fontId="0" fillId="2" borderId="17" xfId="0" applyNumberFormat="1" applyFill="1" applyBorder="1" applyProtection="1">
      <protection locked="0"/>
    </xf>
    <xf numFmtId="165" fontId="3" fillId="0" borderId="2" xfId="0" applyNumberFormat="1" applyFont="1" applyBorder="1"/>
    <xf numFmtId="164" fontId="3" fillId="0" borderId="2" xfId="0" applyNumberFormat="1" applyFont="1" applyBorder="1"/>
    <xf numFmtId="168" fontId="4" fillId="0" borderId="14" xfId="0" applyNumberFormat="1" applyFont="1" applyBorder="1"/>
    <xf numFmtId="3" fontId="0" fillId="2" borderId="19" xfId="0" applyNumberFormat="1" applyFill="1" applyBorder="1" applyProtection="1">
      <protection locked="0"/>
    </xf>
    <xf numFmtId="0" fontId="11" fillId="0" borderId="0" xfId="0" applyFont="1"/>
    <xf numFmtId="0" fontId="1" fillId="0" borderId="27" xfId="0" applyFont="1" applyBorder="1"/>
    <xf numFmtId="164" fontId="0" fillId="0" borderId="27" xfId="0" applyNumberFormat="1" applyBorder="1"/>
    <xf numFmtId="164" fontId="0" fillId="2" borderId="27" xfId="0" applyNumberFormat="1" applyFill="1" applyBorder="1" applyProtection="1">
      <protection locked="0"/>
    </xf>
    <xf numFmtId="164" fontId="0" fillId="2" borderId="2" xfId="0" applyNumberFormat="1" applyFill="1" applyBorder="1" applyProtection="1">
      <protection locked="0"/>
    </xf>
    <xf numFmtId="0" fontId="1" fillId="0" borderId="28" xfId="0" applyFont="1" applyBorder="1"/>
    <xf numFmtId="164" fontId="0" fillId="0" borderId="28" xfId="0" applyNumberFormat="1" applyBorder="1"/>
    <xf numFmtId="164" fontId="0" fillId="2" borderId="28" xfId="0" applyNumberFormat="1" applyFill="1" applyBorder="1" applyProtection="1">
      <protection locked="0"/>
    </xf>
    <xf numFmtId="164" fontId="4" fillId="0" borderId="28" xfId="0" applyNumberFormat="1" applyFont="1" applyBorder="1"/>
    <xf numFmtId="0" fontId="1" fillId="11" borderId="27" xfId="0" applyFont="1" applyFill="1" applyBorder="1"/>
    <xf numFmtId="164" fontId="0" fillId="11" borderId="27" xfId="0" applyNumberFormat="1" applyFill="1" applyBorder="1"/>
    <xf numFmtId="164" fontId="4" fillId="11" borderId="27" xfId="0" applyNumberFormat="1" applyFont="1" applyFill="1" applyBorder="1"/>
    <xf numFmtId="164" fontId="0" fillId="11" borderId="2" xfId="0" applyNumberFormat="1" applyFill="1" applyBorder="1"/>
    <xf numFmtId="164" fontId="4" fillId="11" borderId="2" xfId="0" applyNumberFormat="1" applyFont="1" applyFill="1" applyBorder="1"/>
    <xf numFmtId="0" fontId="1" fillId="11" borderId="28" xfId="0" applyFont="1" applyFill="1" applyBorder="1"/>
    <xf numFmtId="164" fontId="0" fillId="11" borderId="28" xfId="0" applyNumberFormat="1" applyFill="1" applyBorder="1"/>
    <xf numFmtId="164" fontId="4" fillId="11" borderId="28" xfId="0" applyNumberFormat="1" applyFont="1" applyFill="1" applyBorder="1"/>
    <xf numFmtId="3" fontId="0" fillId="11" borderId="4" xfId="0" applyNumberFormat="1" applyFill="1" applyBorder="1"/>
    <xf numFmtId="3" fontId="0" fillId="11" borderId="0" xfId="0" applyNumberFormat="1" applyFill="1"/>
    <xf numFmtId="173" fontId="0" fillId="11" borderId="0" xfId="0" applyNumberFormat="1" applyFill="1"/>
    <xf numFmtId="3" fontId="0" fillId="11" borderId="12" xfId="0" applyNumberFormat="1" applyFill="1" applyBorder="1"/>
    <xf numFmtId="173" fontId="9" fillId="11" borderId="11" xfId="0" applyNumberFormat="1" applyFont="1" applyFill="1" applyBorder="1"/>
    <xf numFmtId="164" fontId="0" fillId="0" borderId="15" xfId="0" applyNumberFormat="1" applyBorder="1"/>
    <xf numFmtId="174" fontId="0" fillId="11" borderId="12" xfId="0" applyNumberFormat="1" applyFill="1" applyBorder="1"/>
    <xf numFmtId="174" fontId="0" fillId="11" borderId="0" xfId="0" applyNumberFormat="1" applyFill="1"/>
    <xf numFmtId="9" fontId="3" fillId="0" borderId="14" xfId="0" applyNumberFormat="1" applyFont="1" applyBorder="1" applyAlignment="1">
      <alignment horizontal="center"/>
    </xf>
    <xf numFmtId="0" fontId="3" fillId="12" borderId="0" xfId="0" applyFont="1" applyFill="1" applyAlignment="1">
      <alignment vertical="top"/>
    </xf>
    <xf numFmtId="0" fontId="0" fillId="12" borderId="0" xfId="0" applyFill="1" applyAlignment="1">
      <alignment vertical="top"/>
    </xf>
    <xf numFmtId="0" fontId="9" fillId="11" borderId="0" xfId="0" applyFont="1" applyFill="1"/>
    <xf numFmtId="0" fontId="9" fillId="11" borderId="7" xfId="0" applyFont="1" applyFill="1" applyBorder="1"/>
    <xf numFmtId="174" fontId="9" fillId="11" borderId="11" xfId="0" applyNumberFormat="1" applyFont="1" applyFill="1" applyBorder="1"/>
    <xf numFmtId="4" fontId="9" fillId="11" borderId="11" xfId="0" applyNumberFormat="1" applyFont="1" applyFill="1" applyBorder="1"/>
    <xf numFmtId="165" fontId="0" fillId="0" borderId="0" xfId="0" applyNumberFormat="1"/>
    <xf numFmtId="0" fontId="12" fillId="0" borderId="0" xfId="0" applyFont="1"/>
    <xf numFmtId="0" fontId="13" fillId="0" borderId="0" xfId="0" applyFont="1"/>
    <xf numFmtId="9" fontId="0" fillId="2" borderId="17" xfId="0" applyNumberFormat="1" applyFill="1" applyBorder="1" applyProtection="1">
      <protection locked="0"/>
    </xf>
    <xf numFmtId="3" fontId="3" fillId="2" borderId="2" xfId="0" applyNumberFormat="1" applyFont="1" applyFill="1" applyBorder="1" applyAlignment="1" applyProtection="1">
      <alignment horizontal="center"/>
      <protection locked="0"/>
    </xf>
    <xf numFmtId="3" fontId="9" fillId="11" borderId="11" xfId="0" applyNumberFormat="1" applyFont="1" applyFill="1" applyBorder="1" applyAlignment="1">
      <alignment horizontal="center"/>
    </xf>
  </cellXfs>
  <cellStyles count="1">
    <cellStyle name="Standard" xfId="0" builtinId="0"/>
  </cellStyles>
  <dxfs count="37">
    <dxf>
      <font>
        <b/>
        <i val="0"/>
        <color theme="9" tint="-0.24994659260841701"/>
      </font>
      <fill>
        <patternFill patternType="none">
          <bgColor auto="1"/>
        </patternFill>
      </fill>
    </dxf>
    <dxf>
      <fill>
        <patternFill>
          <bgColor rgb="FFB6DF89"/>
        </patternFill>
      </fill>
    </dxf>
    <dxf>
      <fill>
        <patternFill>
          <bgColor rgb="FFA162D0"/>
        </patternFill>
      </fill>
    </dxf>
    <dxf>
      <fill>
        <patternFill>
          <bgColor rgb="FFFF3F9F"/>
        </patternFill>
      </fill>
    </dxf>
    <dxf>
      <font>
        <color rgb="FFFF0000"/>
      </font>
    </dxf>
    <dxf>
      <fill>
        <patternFill>
          <bgColor rgb="FF69D8FF"/>
        </patternFill>
      </fill>
    </dxf>
    <dxf>
      <fill>
        <patternFill>
          <bgColor rgb="FFFFFF00"/>
        </patternFill>
      </fill>
    </dxf>
    <dxf>
      <font>
        <color rgb="FFFF0000"/>
      </font>
    </dxf>
    <dxf>
      <fill>
        <patternFill>
          <bgColor rgb="FFFFC000"/>
        </patternFill>
      </fill>
    </dxf>
    <dxf>
      <fill>
        <patternFill>
          <bgColor rgb="FFFF9393"/>
        </patternFill>
      </fill>
    </dxf>
    <dxf>
      <font>
        <b/>
        <i val="0"/>
        <color rgb="FF008000"/>
      </font>
    </dxf>
    <dxf>
      <font>
        <color rgb="FFFF0000"/>
      </font>
    </dxf>
    <dxf>
      <font>
        <color theme="5"/>
      </font>
    </dxf>
    <dxf>
      <font>
        <color theme="5"/>
      </font>
    </dxf>
    <dxf>
      <font>
        <color theme="5"/>
      </font>
    </dxf>
    <dxf>
      <font>
        <color theme="5"/>
      </font>
    </dxf>
    <dxf>
      <font>
        <color theme="5"/>
      </font>
    </dxf>
    <dxf>
      <font>
        <color theme="5"/>
      </font>
    </dxf>
    <dxf>
      <font>
        <color theme="5"/>
      </font>
    </dxf>
    <dxf>
      <font>
        <color theme="5"/>
      </font>
    </dxf>
    <dxf>
      <font>
        <color rgb="FFFF0000"/>
      </font>
    </dxf>
    <dxf>
      <font>
        <color rgb="FFFF0000"/>
      </font>
    </dxf>
    <dxf>
      <font>
        <color rgb="FFFF0000"/>
      </font>
    </dxf>
    <dxf>
      <font>
        <color rgb="FFFF0000"/>
      </font>
    </dxf>
    <dxf>
      <font>
        <b/>
        <i val="0"/>
        <color theme="9" tint="-0.24994659260841701"/>
      </font>
      <fill>
        <patternFill patternType="none">
          <bgColor auto="1"/>
        </patternFill>
      </fill>
    </dxf>
    <dxf>
      <fill>
        <patternFill>
          <bgColor rgb="FFB6DF89"/>
        </patternFill>
      </fill>
    </dxf>
    <dxf>
      <fill>
        <patternFill>
          <bgColor rgb="FFA162D0"/>
        </patternFill>
      </fill>
    </dxf>
    <dxf>
      <fill>
        <patternFill>
          <bgColor rgb="FFFF3F9F"/>
        </patternFill>
      </fill>
    </dxf>
    <dxf>
      <fill>
        <patternFill>
          <bgColor theme="8" tint="0.39994506668294322"/>
        </patternFill>
      </fill>
    </dxf>
    <dxf>
      <font>
        <color rgb="FFFF0000"/>
      </font>
    </dxf>
    <dxf>
      <fill>
        <patternFill>
          <bgColor rgb="FFFFFF00"/>
        </patternFill>
      </fill>
    </dxf>
    <dxf>
      <fill>
        <patternFill>
          <bgColor rgb="FFEFC16D"/>
        </patternFill>
      </fill>
    </dxf>
    <dxf>
      <font>
        <color rgb="FFFF0000"/>
      </font>
    </dxf>
    <dxf>
      <fill>
        <patternFill>
          <bgColor rgb="FFFF9393"/>
        </patternFill>
      </fill>
    </dxf>
    <dxf>
      <font>
        <b/>
        <i val="0"/>
        <color rgb="FF008000"/>
      </font>
    </dxf>
    <dxf>
      <font>
        <color rgb="FFFF0000"/>
      </font>
    </dxf>
    <dxf>
      <fill>
        <patternFill>
          <bgColor rgb="FF92D050"/>
        </patternFill>
      </fill>
    </dxf>
  </dxfs>
  <tableStyles count="0" defaultTableStyle="TableStyleMedium2" defaultPivotStyle="PivotStyleLight16"/>
  <colors>
    <mruColors>
      <color rgb="FFE1F0FF"/>
      <color rgb="FF69D8FF"/>
      <color rgb="FFC2E49C"/>
      <color rgb="FFB2DE82"/>
      <color rgb="FFFFFFAF"/>
      <color rgb="FFA162D0"/>
      <color rgb="FFFF3F9F"/>
      <color rgb="FFFF9393"/>
      <color rgb="FFFF6161"/>
      <color rgb="FFADDB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BU68"/>
  <sheetViews>
    <sheetView showGridLines="0" tabSelected="1" zoomScale="91" zoomScaleNormal="91" workbookViewId="0">
      <pane xSplit="1" topLeftCell="B1" activePane="topRight" state="frozen"/>
      <selection pane="topRight"/>
    </sheetView>
  </sheetViews>
  <sheetFormatPr baseColWidth="10" defaultRowHeight="12.75" x14ac:dyDescent="0.2"/>
  <cols>
    <col min="1" max="1" width="36.140625" customWidth="1"/>
    <col min="2" max="34" width="17.7109375" customWidth="1"/>
  </cols>
  <sheetData>
    <row r="1" spans="1:18" s="2" customFormat="1" ht="23.25" x14ac:dyDescent="0.35">
      <c r="A1" s="7" t="s">
        <v>152</v>
      </c>
      <c r="B1" s="2" t="s">
        <v>145</v>
      </c>
    </row>
    <row r="2" spans="1:18" s="2" customFormat="1" ht="23.25" x14ac:dyDescent="0.35">
      <c r="A2" s="7"/>
      <c r="B2" s="8" t="s">
        <v>171</v>
      </c>
    </row>
    <row r="3" spans="1:18" s="2" customFormat="1" ht="23.25" x14ac:dyDescent="0.35">
      <c r="A3" s="7"/>
      <c r="B3" s="64" t="s">
        <v>164</v>
      </c>
      <c r="C3"/>
      <c r="D3"/>
      <c r="E3"/>
      <c r="F3"/>
    </row>
    <row r="4" spans="1:18" ht="24.95" customHeight="1" x14ac:dyDescent="0.2">
      <c r="B4" s="129" t="s">
        <v>165</v>
      </c>
      <c r="C4" s="130"/>
      <c r="D4" s="130"/>
      <c r="E4" s="130"/>
      <c r="F4" s="130"/>
    </row>
    <row r="5" spans="1:18" x14ac:dyDescent="0.2">
      <c r="A5" s="18" t="s">
        <v>143</v>
      </c>
      <c r="B5" s="120">
        <v>3560</v>
      </c>
      <c r="C5" s="12" t="s">
        <v>144</v>
      </c>
      <c r="D5" s="11"/>
      <c r="E5" s="11"/>
      <c r="F5" s="11"/>
      <c r="G5" s="11"/>
      <c r="H5" s="10"/>
      <c r="I5" s="11"/>
      <c r="J5" s="12"/>
    </row>
    <row r="6" spans="1:18" x14ac:dyDescent="0.2">
      <c r="A6" s="19" t="s">
        <v>57</v>
      </c>
      <c r="B6" s="121">
        <v>1000</v>
      </c>
      <c r="C6" s="14" t="s">
        <v>58</v>
      </c>
      <c r="D6" s="9"/>
      <c r="E6" s="9"/>
      <c r="F6" s="9"/>
      <c r="G6" s="9"/>
      <c r="H6" s="19" t="s">
        <v>73</v>
      </c>
      <c r="I6" s="9"/>
      <c r="J6" s="14"/>
    </row>
    <row r="7" spans="1:18" x14ac:dyDescent="0.2">
      <c r="A7" s="19" t="s">
        <v>123</v>
      </c>
      <c r="B7" s="122">
        <v>14</v>
      </c>
      <c r="C7" s="14" t="s">
        <v>61</v>
      </c>
      <c r="D7" s="9"/>
      <c r="E7" s="9"/>
      <c r="F7" s="9"/>
      <c r="G7" s="9"/>
      <c r="H7" s="24" t="s">
        <v>124</v>
      </c>
      <c r="I7" s="126">
        <v>0.31</v>
      </c>
      <c r="J7" s="23" t="s">
        <v>78</v>
      </c>
    </row>
    <row r="8" spans="1:18" x14ac:dyDescent="0.2">
      <c r="A8" s="19" t="s">
        <v>59</v>
      </c>
      <c r="B8" s="122">
        <v>12</v>
      </c>
      <c r="C8" s="14" t="s">
        <v>61</v>
      </c>
      <c r="D8" s="9"/>
      <c r="E8" s="9"/>
      <c r="F8" s="9"/>
      <c r="G8" s="9"/>
      <c r="H8" s="24" t="s">
        <v>74</v>
      </c>
      <c r="I8" s="126">
        <v>0.24</v>
      </c>
      <c r="J8" s="23" t="s">
        <v>78</v>
      </c>
      <c r="K8" s="6"/>
      <c r="L8" s="5"/>
      <c r="M8" s="4"/>
      <c r="N8" s="5"/>
      <c r="O8" s="4"/>
      <c r="P8" s="5"/>
      <c r="Q8" s="4"/>
      <c r="R8" s="4"/>
    </row>
    <row r="9" spans="1:18" x14ac:dyDescent="0.2">
      <c r="A9" s="19" t="s">
        <v>167</v>
      </c>
      <c r="B9" s="122">
        <v>12</v>
      </c>
      <c r="C9" s="14" t="s">
        <v>61</v>
      </c>
      <c r="D9" s="9"/>
      <c r="E9" s="9"/>
      <c r="F9" s="9"/>
      <c r="G9" s="9"/>
      <c r="H9" s="24" t="s">
        <v>168</v>
      </c>
      <c r="I9" s="126">
        <v>0.152</v>
      </c>
      <c r="J9" s="23" t="s">
        <v>78</v>
      </c>
      <c r="K9" s="6"/>
      <c r="L9" s="5"/>
      <c r="M9" s="4"/>
      <c r="N9" s="5"/>
      <c r="O9" s="4"/>
      <c r="P9" s="5"/>
      <c r="Q9" s="4"/>
      <c r="R9" s="4"/>
    </row>
    <row r="10" spans="1:18" x14ac:dyDescent="0.2">
      <c r="A10" s="21" t="s">
        <v>65</v>
      </c>
      <c r="B10" s="22">
        <v>100</v>
      </c>
      <c r="C10" s="22" t="s">
        <v>67</v>
      </c>
      <c r="D10" s="123">
        <v>1900</v>
      </c>
      <c r="E10" s="22" t="s">
        <v>69</v>
      </c>
      <c r="F10" s="80">
        <f>B10/D10*100</f>
        <v>5.2631578947368416</v>
      </c>
      <c r="G10" s="22" t="s">
        <v>71</v>
      </c>
      <c r="H10" s="24" t="s">
        <v>75</v>
      </c>
      <c r="I10" s="126">
        <v>0.02</v>
      </c>
      <c r="J10" s="23" t="s">
        <v>78</v>
      </c>
      <c r="K10" s="6"/>
      <c r="L10" s="5"/>
      <c r="M10" s="4"/>
      <c r="N10" s="5"/>
      <c r="O10" s="4"/>
      <c r="P10" s="5"/>
      <c r="Q10" s="4"/>
      <c r="R10" s="4"/>
    </row>
    <row r="11" spans="1:18" x14ac:dyDescent="0.2">
      <c r="A11" s="21" t="s">
        <v>66</v>
      </c>
      <c r="B11" s="22">
        <v>300</v>
      </c>
      <c r="C11" s="22" t="s">
        <v>68</v>
      </c>
      <c r="D11" s="123">
        <v>4900</v>
      </c>
      <c r="E11" s="22" t="s">
        <v>70</v>
      </c>
      <c r="F11" s="80">
        <f>B11/D11*100</f>
        <v>6.1224489795918364</v>
      </c>
      <c r="G11" s="22" t="s">
        <v>71</v>
      </c>
      <c r="H11" s="24" t="s">
        <v>76</v>
      </c>
      <c r="I11" s="126">
        <v>4.1000000000000002E-2</v>
      </c>
      <c r="J11" s="23" t="s">
        <v>78</v>
      </c>
      <c r="K11" s="6"/>
      <c r="L11" s="5"/>
      <c r="M11" s="4"/>
      <c r="N11" s="5"/>
      <c r="O11" s="4"/>
      <c r="P11" s="5"/>
      <c r="Q11" s="4"/>
      <c r="R11" s="4"/>
    </row>
    <row r="12" spans="1:18" x14ac:dyDescent="0.2">
      <c r="A12" s="19" t="s">
        <v>72</v>
      </c>
      <c r="B12" s="9">
        <v>9.5</v>
      </c>
      <c r="C12" s="12" t="s">
        <v>61</v>
      </c>
      <c r="D12" s="9"/>
      <c r="E12" s="9"/>
      <c r="F12" s="9"/>
      <c r="G12" s="9"/>
      <c r="H12" s="24" t="s">
        <v>77</v>
      </c>
      <c r="I12" s="126">
        <v>0.18</v>
      </c>
      <c r="J12" s="23" t="s">
        <v>78</v>
      </c>
      <c r="K12" s="6"/>
      <c r="L12" s="5"/>
      <c r="M12" s="4"/>
      <c r="N12" s="5"/>
      <c r="O12" s="4"/>
      <c r="P12" s="5"/>
      <c r="Q12" s="4"/>
      <c r="R12" s="4"/>
    </row>
    <row r="13" spans="1:18" x14ac:dyDescent="0.2">
      <c r="A13" s="19" t="s">
        <v>60</v>
      </c>
      <c r="B13" s="122">
        <v>40</v>
      </c>
      <c r="C13" s="14" t="s">
        <v>61</v>
      </c>
      <c r="D13" s="9"/>
      <c r="E13" s="9"/>
      <c r="F13" s="9"/>
      <c r="G13" s="9"/>
      <c r="H13" s="24" t="s">
        <v>79</v>
      </c>
      <c r="I13" s="126">
        <v>0.06</v>
      </c>
      <c r="J13" s="23" t="s">
        <v>78</v>
      </c>
      <c r="K13" s="6"/>
      <c r="L13" s="5"/>
      <c r="M13" s="4"/>
      <c r="N13" s="5"/>
      <c r="O13" s="4"/>
      <c r="P13" s="5"/>
      <c r="Q13" s="4"/>
      <c r="R13" s="4"/>
    </row>
    <row r="14" spans="1:18" x14ac:dyDescent="0.2">
      <c r="A14" s="19" t="s">
        <v>62</v>
      </c>
      <c r="B14" s="122">
        <v>30</v>
      </c>
      <c r="C14" s="14" t="s">
        <v>61</v>
      </c>
      <c r="D14" s="9"/>
      <c r="E14" s="9"/>
      <c r="F14" s="9"/>
      <c r="G14" s="9"/>
      <c r="H14" s="24" t="s">
        <v>64</v>
      </c>
      <c r="I14" s="126">
        <v>0.56000000000000005</v>
      </c>
      <c r="J14" s="23" t="s">
        <v>78</v>
      </c>
      <c r="K14" s="6"/>
      <c r="L14" s="5"/>
      <c r="M14" s="4"/>
      <c r="N14" s="5"/>
      <c r="O14" s="4"/>
      <c r="P14" s="5"/>
      <c r="Q14" s="4"/>
      <c r="R14" s="4"/>
    </row>
    <row r="15" spans="1:18" x14ac:dyDescent="0.2">
      <c r="A15" s="19" t="s">
        <v>154</v>
      </c>
      <c r="B15" s="122">
        <v>8.1999999999999993</v>
      </c>
      <c r="C15" s="14" t="s">
        <v>61</v>
      </c>
      <c r="D15" s="9"/>
      <c r="E15" s="9"/>
      <c r="F15" s="9"/>
      <c r="G15" s="9"/>
      <c r="H15" s="13"/>
      <c r="I15" s="127"/>
      <c r="J15" s="14"/>
      <c r="K15" s="6"/>
      <c r="L15" s="5"/>
      <c r="M15" s="4"/>
      <c r="N15" s="5"/>
      <c r="O15" s="4"/>
      <c r="P15" s="5"/>
      <c r="Q15" s="4"/>
      <c r="R15" s="4"/>
    </row>
    <row r="16" spans="1:18" x14ac:dyDescent="0.2">
      <c r="A16" s="19" t="s">
        <v>9</v>
      </c>
      <c r="B16" s="121">
        <v>20270</v>
      </c>
      <c r="C16" s="14" t="s">
        <v>27</v>
      </c>
      <c r="D16" s="9"/>
      <c r="E16" s="9"/>
      <c r="F16" s="9"/>
      <c r="G16" s="9"/>
      <c r="H16" s="13"/>
      <c r="I16" s="9"/>
      <c r="J16" s="14"/>
      <c r="K16" s="6"/>
      <c r="L16" s="5"/>
      <c r="M16" s="4"/>
      <c r="N16" s="5"/>
      <c r="O16" s="4"/>
      <c r="P16" s="5"/>
      <c r="Q16" s="4"/>
      <c r="R16" s="4"/>
    </row>
    <row r="17" spans="1:73" x14ac:dyDescent="0.2">
      <c r="A17" s="20" t="s">
        <v>26</v>
      </c>
      <c r="B17" s="121">
        <v>4000</v>
      </c>
      <c r="C17" s="17" t="s">
        <v>27</v>
      </c>
      <c r="D17" s="16"/>
      <c r="E17" s="16"/>
      <c r="F17" s="16"/>
      <c r="G17" s="16"/>
      <c r="H17" s="15"/>
      <c r="I17" s="16"/>
      <c r="J17" s="17"/>
      <c r="K17" s="3"/>
      <c r="L17" s="6"/>
      <c r="M17" s="6"/>
      <c r="N17" s="5"/>
      <c r="O17" s="4"/>
      <c r="P17" s="5"/>
      <c r="Q17" s="4"/>
      <c r="R17" s="5"/>
      <c r="S17" s="4"/>
      <c r="T17" s="4"/>
    </row>
    <row r="18" spans="1:73" x14ac:dyDescent="0.2">
      <c r="A18" s="1"/>
      <c r="K18" s="3"/>
      <c r="L18" s="6"/>
      <c r="M18" s="6"/>
      <c r="N18" s="5"/>
      <c r="O18" s="4"/>
      <c r="P18" s="5"/>
      <c r="Q18" s="4"/>
      <c r="R18" s="5"/>
      <c r="S18" s="4"/>
      <c r="T18" s="4"/>
    </row>
    <row r="19" spans="1:73" x14ac:dyDescent="0.2">
      <c r="B19" s="3"/>
      <c r="C19" s="3"/>
      <c r="D19" s="6"/>
      <c r="E19" s="6"/>
      <c r="F19" s="3"/>
      <c r="G19" s="3"/>
      <c r="H19" s="3"/>
      <c r="I19" s="3"/>
      <c r="J19" s="6"/>
      <c r="K19" s="6"/>
      <c r="L19" s="5"/>
      <c r="M19" s="4"/>
      <c r="N19" s="5"/>
      <c r="O19" s="4"/>
      <c r="P19" s="5"/>
      <c r="Q19" s="4"/>
      <c r="R19" s="4"/>
    </row>
    <row r="20" spans="1:73" s="1" customFormat="1" x14ac:dyDescent="0.2">
      <c r="A20" s="30" t="s">
        <v>0</v>
      </c>
      <c r="B20" s="31" t="s">
        <v>84</v>
      </c>
      <c r="C20" s="30" t="s">
        <v>85</v>
      </c>
      <c r="D20" s="32" t="s">
        <v>88</v>
      </c>
      <c r="E20" s="32" t="s">
        <v>90</v>
      </c>
      <c r="F20" s="32" t="s">
        <v>95</v>
      </c>
      <c r="G20" s="32" t="s">
        <v>32</v>
      </c>
      <c r="H20" s="32" t="s">
        <v>82</v>
      </c>
      <c r="I20" s="33" t="s">
        <v>83</v>
      </c>
      <c r="J20" s="33" t="s">
        <v>49</v>
      </c>
      <c r="K20" s="32" t="s">
        <v>33</v>
      </c>
      <c r="L20" s="32" t="s">
        <v>34</v>
      </c>
      <c r="M20" s="31" t="s">
        <v>35</v>
      </c>
      <c r="N20" s="31" t="s">
        <v>36</v>
      </c>
      <c r="O20" s="32" t="s">
        <v>102</v>
      </c>
      <c r="P20" s="34" t="s">
        <v>103</v>
      </c>
      <c r="Q20" s="34" t="s">
        <v>106</v>
      </c>
      <c r="R20" s="32" t="s">
        <v>37</v>
      </c>
      <c r="S20" s="32" t="s">
        <v>38</v>
      </c>
      <c r="T20" s="32" t="s">
        <v>47</v>
      </c>
      <c r="U20" s="32" t="s">
        <v>113</v>
      </c>
      <c r="V20" s="32" t="s">
        <v>114</v>
      </c>
      <c r="W20" s="30" t="s">
        <v>120</v>
      </c>
      <c r="X20" s="30" t="s">
        <v>110</v>
      </c>
      <c r="Y20" s="30" t="s">
        <v>112</v>
      </c>
      <c r="Z20" s="30" t="s">
        <v>117</v>
      </c>
      <c r="AA20" s="30" t="s">
        <v>156</v>
      </c>
      <c r="AB20" s="32" t="s">
        <v>39</v>
      </c>
      <c r="AC20" s="32" t="s">
        <v>40</v>
      </c>
      <c r="AD20" s="32" t="s">
        <v>41</v>
      </c>
      <c r="AE20" s="32" t="s">
        <v>42</v>
      </c>
      <c r="AF20" s="32" t="s">
        <v>43</v>
      </c>
      <c r="AG20" s="32" t="s">
        <v>44</v>
      </c>
      <c r="AH20" s="32" t="s">
        <v>45</v>
      </c>
    </row>
    <row r="21" spans="1:73" s="1" customFormat="1" x14ac:dyDescent="0.2">
      <c r="A21" s="25"/>
      <c r="B21" s="25" t="s">
        <v>118</v>
      </c>
      <c r="C21" s="25" t="s">
        <v>86</v>
      </c>
      <c r="D21" s="25" t="s">
        <v>89</v>
      </c>
      <c r="E21" s="25" t="s">
        <v>91</v>
      </c>
      <c r="F21" s="25" t="s">
        <v>91</v>
      </c>
      <c r="G21" s="25" t="s">
        <v>4</v>
      </c>
      <c r="H21" s="25" t="s">
        <v>81</v>
      </c>
      <c r="I21" s="25" t="s">
        <v>50</v>
      </c>
      <c r="J21" s="25" t="s">
        <v>50</v>
      </c>
      <c r="K21" s="25" t="s">
        <v>77</v>
      </c>
      <c r="L21" s="25" t="s">
        <v>77</v>
      </c>
      <c r="M21" s="25" t="s">
        <v>7</v>
      </c>
      <c r="N21" s="25" t="s">
        <v>7</v>
      </c>
      <c r="O21" s="25" t="s">
        <v>8</v>
      </c>
      <c r="P21" s="25" t="s">
        <v>104</v>
      </c>
      <c r="Q21" s="25" t="s">
        <v>52</v>
      </c>
      <c r="R21" s="25" t="s">
        <v>12</v>
      </c>
      <c r="S21" s="25" t="s">
        <v>12</v>
      </c>
      <c r="T21" s="25" t="s">
        <v>12</v>
      </c>
      <c r="U21" s="25" t="s">
        <v>14</v>
      </c>
      <c r="V21" s="25" t="s">
        <v>115</v>
      </c>
      <c r="W21" s="25" t="s">
        <v>7</v>
      </c>
      <c r="X21" s="25" t="s">
        <v>111</v>
      </c>
      <c r="Y21" s="25" t="s">
        <v>111</v>
      </c>
      <c r="Z21" s="25" t="s">
        <v>111</v>
      </c>
      <c r="AA21" s="25" t="s">
        <v>157</v>
      </c>
      <c r="AB21" s="25" t="s">
        <v>8</v>
      </c>
      <c r="AC21" s="25" t="s">
        <v>7</v>
      </c>
      <c r="AD21" s="25" t="s">
        <v>7</v>
      </c>
      <c r="AE21" s="25" t="s">
        <v>8</v>
      </c>
      <c r="AF21" s="25" t="s">
        <v>8</v>
      </c>
      <c r="AG21" s="25" t="s">
        <v>8</v>
      </c>
      <c r="AH21" s="25" t="s">
        <v>8</v>
      </c>
    </row>
    <row r="22" spans="1:73" s="1" customFormat="1" x14ac:dyDescent="0.2">
      <c r="A22" s="25"/>
      <c r="B22" s="25"/>
      <c r="C22" s="25"/>
      <c r="D22" s="25" t="s">
        <v>48</v>
      </c>
      <c r="E22" s="25" t="s">
        <v>48</v>
      </c>
      <c r="F22" s="25" t="s">
        <v>48</v>
      </c>
      <c r="G22" s="25"/>
      <c r="H22" s="25"/>
      <c r="I22" s="25" t="s">
        <v>121</v>
      </c>
      <c r="J22" s="25" t="s">
        <v>51</v>
      </c>
      <c r="K22" s="25" t="s">
        <v>10</v>
      </c>
      <c r="L22" s="25" t="s">
        <v>11</v>
      </c>
      <c r="M22" s="25" t="s">
        <v>134</v>
      </c>
      <c r="N22" s="25" t="s">
        <v>100</v>
      </c>
      <c r="O22" s="25" t="s">
        <v>100</v>
      </c>
      <c r="P22" s="25" t="s">
        <v>105</v>
      </c>
      <c r="Q22" s="25" t="s">
        <v>53</v>
      </c>
      <c r="R22" s="25" t="s">
        <v>119</v>
      </c>
      <c r="S22" s="25" t="s">
        <v>108</v>
      </c>
      <c r="T22" s="25" t="s">
        <v>108</v>
      </c>
      <c r="U22" s="25" t="s">
        <v>109</v>
      </c>
      <c r="V22" s="25" t="s">
        <v>109</v>
      </c>
      <c r="W22" s="25" t="s">
        <v>107</v>
      </c>
      <c r="X22" s="25" t="s">
        <v>16</v>
      </c>
      <c r="Y22" s="25" t="s">
        <v>16</v>
      </c>
      <c r="Z22" s="25" t="s">
        <v>16</v>
      </c>
      <c r="AA22" s="25" t="s">
        <v>16</v>
      </c>
      <c r="AB22" s="25" t="s">
        <v>17</v>
      </c>
      <c r="AC22" s="25" t="s">
        <v>18</v>
      </c>
      <c r="AD22" s="25" t="s">
        <v>18</v>
      </c>
      <c r="AE22" s="25" t="s">
        <v>18</v>
      </c>
      <c r="AF22" s="25" t="s">
        <v>18</v>
      </c>
      <c r="AG22" s="25" t="s">
        <v>17</v>
      </c>
      <c r="AH22" s="25" t="s">
        <v>17</v>
      </c>
    </row>
    <row r="23" spans="1:73" s="1" customFormat="1" x14ac:dyDescent="0.2">
      <c r="A23" s="25"/>
      <c r="B23" s="25"/>
      <c r="C23" s="26"/>
      <c r="D23" s="25" t="s">
        <v>93</v>
      </c>
      <c r="E23" s="25" t="s">
        <v>93</v>
      </c>
      <c r="F23" s="25" t="s">
        <v>96</v>
      </c>
      <c r="G23" s="25"/>
      <c r="H23" s="25"/>
      <c r="I23" s="25"/>
      <c r="J23" s="25"/>
      <c r="K23" s="25"/>
      <c r="L23" s="25"/>
      <c r="M23" s="25" t="s">
        <v>135</v>
      </c>
      <c r="N23" s="25"/>
      <c r="O23" s="25"/>
      <c r="P23" s="25" t="s">
        <v>158</v>
      </c>
      <c r="Q23" s="25" t="s">
        <v>158</v>
      </c>
      <c r="R23" s="25" t="s">
        <v>158</v>
      </c>
      <c r="S23" s="25" t="s">
        <v>158</v>
      </c>
      <c r="T23" s="25" t="s">
        <v>158</v>
      </c>
      <c r="U23" s="25" t="s">
        <v>53</v>
      </c>
      <c r="V23" s="25" t="s">
        <v>53</v>
      </c>
      <c r="W23" s="25"/>
      <c r="X23" s="25"/>
      <c r="Y23" s="25" t="s">
        <v>18</v>
      </c>
      <c r="Z23" s="25" t="s">
        <v>18</v>
      </c>
      <c r="AA23" s="25"/>
      <c r="AB23" s="25"/>
      <c r="AC23" s="25"/>
      <c r="AD23" s="25" t="s">
        <v>116</v>
      </c>
      <c r="AE23" s="25"/>
      <c r="AF23" s="25" t="s">
        <v>116</v>
      </c>
      <c r="AG23" s="25" t="s">
        <v>18</v>
      </c>
      <c r="AH23" s="25" t="s">
        <v>18</v>
      </c>
    </row>
    <row r="24" spans="1:73" s="1" customFormat="1" x14ac:dyDescent="0.2">
      <c r="A24" s="25"/>
      <c r="B24" s="25"/>
      <c r="C24" s="25"/>
      <c r="D24" s="25" t="s">
        <v>94</v>
      </c>
      <c r="E24" s="25" t="s">
        <v>94</v>
      </c>
      <c r="F24" s="25" t="s">
        <v>94</v>
      </c>
      <c r="G24" s="25"/>
      <c r="H24" s="25"/>
      <c r="I24" s="25"/>
      <c r="J24" s="25"/>
      <c r="K24" s="25"/>
      <c r="L24" s="25"/>
      <c r="M24" s="25"/>
      <c r="N24" s="25"/>
      <c r="O24" s="25"/>
      <c r="P24" s="25"/>
      <c r="Q24" s="25"/>
      <c r="R24" s="25"/>
      <c r="S24" s="25"/>
      <c r="T24" s="25" t="s">
        <v>155</v>
      </c>
      <c r="U24" s="25"/>
      <c r="V24" s="25"/>
      <c r="W24" s="25"/>
      <c r="X24" s="25"/>
      <c r="Y24" s="25"/>
      <c r="Z24" s="25" t="s">
        <v>155</v>
      </c>
      <c r="AA24" s="25"/>
      <c r="AB24" s="25"/>
      <c r="AC24" s="25"/>
      <c r="AD24" s="25" t="s">
        <v>122</v>
      </c>
      <c r="AE24" s="25"/>
      <c r="AF24" s="25" t="s">
        <v>122</v>
      </c>
      <c r="AG24" s="25"/>
      <c r="AH24" s="25" t="s">
        <v>13</v>
      </c>
    </row>
    <row r="25" spans="1:73" s="1" customFormat="1" x14ac:dyDescent="0.2">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row>
    <row r="26" spans="1:73" s="1" customFormat="1" x14ac:dyDescent="0.2">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row>
    <row r="27" spans="1:73" s="1" customFormat="1" x14ac:dyDescent="0.2">
      <c r="A27" s="27"/>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row>
    <row r="28" spans="1:73" s="1" customFormat="1" x14ac:dyDescent="0.2">
      <c r="A28" s="112" t="s">
        <v>19</v>
      </c>
      <c r="B28" s="113"/>
      <c r="C28" s="113"/>
      <c r="D28" s="113">
        <v>14000</v>
      </c>
      <c r="E28" s="113">
        <v>12000</v>
      </c>
      <c r="F28" s="113">
        <v>12000</v>
      </c>
      <c r="G28" s="113">
        <v>21000</v>
      </c>
      <c r="H28" s="113">
        <v>28000</v>
      </c>
      <c r="I28" s="113">
        <v>35000</v>
      </c>
      <c r="J28" s="113">
        <v>42000</v>
      </c>
      <c r="K28" s="113">
        <v>12000</v>
      </c>
      <c r="L28" s="113">
        <v>12000</v>
      </c>
      <c r="M28" s="113">
        <v>25000</v>
      </c>
      <c r="N28" s="113">
        <v>25000</v>
      </c>
      <c r="O28" s="113">
        <v>41200</v>
      </c>
      <c r="P28" s="113">
        <v>12000</v>
      </c>
      <c r="Q28" s="113">
        <v>12000</v>
      </c>
      <c r="R28" s="113">
        <v>12000</v>
      </c>
      <c r="S28" s="113">
        <v>12000</v>
      </c>
      <c r="T28" s="113">
        <v>12000</v>
      </c>
      <c r="U28" s="113">
        <v>21000</v>
      </c>
      <c r="V28" s="113">
        <v>28000</v>
      </c>
      <c r="W28" s="113">
        <v>39000</v>
      </c>
      <c r="X28" s="113">
        <v>30000</v>
      </c>
      <c r="Y28" s="113">
        <v>30000</v>
      </c>
      <c r="Z28" s="113">
        <v>30000</v>
      </c>
      <c r="AA28" s="113">
        <v>40000</v>
      </c>
      <c r="AB28" s="113">
        <v>42300</v>
      </c>
      <c r="AC28" s="114">
        <v>25000</v>
      </c>
      <c r="AD28" s="114">
        <v>25000</v>
      </c>
      <c r="AE28" s="113">
        <v>41200</v>
      </c>
      <c r="AF28" s="114">
        <v>41200</v>
      </c>
      <c r="AG28" s="113">
        <v>42300</v>
      </c>
      <c r="AH28" s="113">
        <v>42300</v>
      </c>
    </row>
    <row r="29" spans="1:73" s="1" customFormat="1" x14ac:dyDescent="0.2">
      <c r="A29" s="90" t="s">
        <v>99</v>
      </c>
      <c r="B29" s="115"/>
      <c r="C29" s="115"/>
      <c r="D29" s="115">
        <v>-9330</v>
      </c>
      <c r="E29" s="115">
        <v>-9330</v>
      </c>
      <c r="F29" s="115">
        <v>-9330</v>
      </c>
      <c r="G29" s="115">
        <v>-9330</v>
      </c>
      <c r="H29" s="115">
        <v>-9330</v>
      </c>
      <c r="I29" s="115">
        <v>-9330</v>
      </c>
      <c r="J29" s="115">
        <v>-9330</v>
      </c>
      <c r="K29" s="115">
        <v>-9330</v>
      </c>
      <c r="L29" s="115">
        <v>-9330</v>
      </c>
      <c r="M29" s="115">
        <v>-9330</v>
      </c>
      <c r="N29" s="115">
        <v>-9330</v>
      </c>
      <c r="O29" s="115">
        <v>-9330</v>
      </c>
      <c r="P29" s="115">
        <v>-9330</v>
      </c>
      <c r="Q29" s="115">
        <v>-9330</v>
      </c>
      <c r="R29" s="115">
        <v>-9330</v>
      </c>
      <c r="S29" s="115">
        <v>-9330</v>
      </c>
      <c r="T29" s="115">
        <v>-9330</v>
      </c>
      <c r="U29" s="115">
        <v>-9330</v>
      </c>
      <c r="V29" s="115">
        <v>-9330</v>
      </c>
      <c r="W29" s="115">
        <v>-9330</v>
      </c>
      <c r="X29" s="115">
        <v>-9330</v>
      </c>
      <c r="Y29" s="115">
        <v>-9330</v>
      </c>
      <c r="Z29" s="115">
        <v>-9330</v>
      </c>
      <c r="AA29" s="115">
        <v>-9330</v>
      </c>
      <c r="AB29" s="115">
        <v>-9330</v>
      </c>
      <c r="AC29" s="115">
        <v>-9330</v>
      </c>
      <c r="AD29" s="115">
        <v>-9330</v>
      </c>
      <c r="AE29" s="115">
        <v>-9330</v>
      </c>
      <c r="AF29" s="115">
        <v>-9330</v>
      </c>
      <c r="AG29" s="115">
        <v>-9330</v>
      </c>
      <c r="AH29" s="115">
        <v>-9330</v>
      </c>
    </row>
    <row r="30" spans="1:73" s="1" customFormat="1" x14ac:dyDescent="0.2">
      <c r="A30" s="90" t="s">
        <v>97</v>
      </c>
      <c r="B30" s="115"/>
      <c r="C30" s="115"/>
      <c r="D30" s="115"/>
      <c r="E30" s="115"/>
      <c r="F30" s="115"/>
      <c r="G30" s="115">
        <v>1000</v>
      </c>
      <c r="H30" s="115">
        <v>2000</v>
      </c>
      <c r="I30" s="115"/>
      <c r="J30" s="115"/>
      <c r="K30" s="115"/>
      <c r="L30" s="115"/>
      <c r="M30" s="115"/>
      <c r="N30" s="115"/>
      <c r="O30" s="115"/>
      <c r="P30" s="115"/>
      <c r="Q30" s="115"/>
      <c r="R30" s="115"/>
      <c r="S30" s="115"/>
      <c r="T30" s="115"/>
      <c r="U30" s="115">
        <v>1000</v>
      </c>
      <c r="V30" s="115">
        <v>2000</v>
      </c>
      <c r="W30" s="115"/>
      <c r="X30" s="115"/>
      <c r="Y30" s="115"/>
      <c r="Z30" s="115"/>
      <c r="AA30" s="115"/>
      <c r="AB30" s="115"/>
      <c r="AC30" s="116"/>
      <c r="AD30" s="116"/>
      <c r="AE30" s="115"/>
      <c r="AF30" s="116"/>
      <c r="AG30" s="115"/>
      <c r="AH30" s="115"/>
    </row>
    <row r="31" spans="1:73" s="1" customFormat="1" x14ac:dyDescent="0.2">
      <c r="A31" s="90" t="s">
        <v>98</v>
      </c>
      <c r="B31" s="115"/>
      <c r="C31" s="115"/>
      <c r="D31" s="115">
        <v>1000</v>
      </c>
      <c r="E31" s="115">
        <v>1000</v>
      </c>
      <c r="F31" s="115">
        <v>1000</v>
      </c>
      <c r="G31" s="115">
        <v>3000</v>
      </c>
      <c r="H31" s="115">
        <v>2000</v>
      </c>
      <c r="I31" s="115">
        <v>2000</v>
      </c>
      <c r="J31" s="115">
        <v>2000</v>
      </c>
      <c r="K31" s="115">
        <v>1000</v>
      </c>
      <c r="L31" s="115">
        <v>1000</v>
      </c>
      <c r="M31" s="115">
        <v>1000</v>
      </c>
      <c r="N31" s="115">
        <v>2000</v>
      </c>
      <c r="O31" s="115">
        <v>2000</v>
      </c>
      <c r="P31" s="115"/>
      <c r="Q31" s="115"/>
      <c r="R31" s="115">
        <v>3000</v>
      </c>
      <c r="S31" s="115">
        <v>4000</v>
      </c>
      <c r="T31" s="115">
        <v>4000</v>
      </c>
      <c r="U31" s="115"/>
      <c r="V31" s="115"/>
      <c r="W31" s="115">
        <v>2000</v>
      </c>
      <c r="X31" s="115">
        <v>2000</v>
      </c>
      <c r="Y31" s="115">
        <v>2000</v>
      </c>
      <c r="Z31" s="115">
        <v>2000</v>
      </c>
      <c r="AA31" s="115">
        <v>2000</v>
      </c>
      <c r="AB31" s="115"/>
      <c r="AC31" s="116">
        <v>2000</v>
      </c>
      <c r="AD31" s="116">
        <v>2000</v>
      </c>
      <c r="AE31" s="115">
        <v>2000</v>
      </c>
      <c r="AF31" s="116">
        <v>2000</v>
      </c>
      <c r="AG31" s="115"/>
      <c r="AH31" s="115"/>
    </row>
    <row r="32" spans="1:73" s="1" customFormat="1" x14ac:dyDescent="0.2">
      <c r="A32" s="90" t="s">
        <v>15</v>
      </c>
      <c r="B32" s="115"/>
      <c r="C32" s="115"/>
      <c r="D32" s="115"/>
      <c r="E32" s="115"/>
      <c r="F32" s="115"/>
      <c r="G32" s="115"/>
      <c r="H32" s="115"/>
      <c r="I32" s="115"/>
      <c r="J32" s="115"/>
      <c r="K32" s="115"/>
      <c r="L32" s="115"/>
      <c r="M32" s="115"/>
      <c r="N32" s="115"/>
      <c r="O32" s="115"/>
      <c r="P32" s="115">
        <v>9000</v>
      </c>
      <c r="Q32" s="115">
        <v>13000</v>
      </c>
      <c r="R32" s="115"/>
      <c r="S32" s="115"/>
      <c r="T32" s="115"/>
      <c r="U32" s="115">
        <v>13000</v>
      </c>
      <c r="V32" s="115">
        <v>13000</v>
      </c>
      <c r="W32" s="115"/>
      <c r="X32" s="115"/>
      <c r="Y32" s="115"/>
      <c r="Z32" s="115"/>
      <c r="AA32" s="115"/>
      <c r="AB32" s="115">
        <v>13000</v>
      </c>
      <c r="AC32" s="116"/>
      <c r="AD32" s="116"/>
      <c r="AE32" s="115"/>
      <c r="AF32" s="116"/>
      <c r="AG32" s="115">
        <v>13000</v>
      </c>
      <c r="AH32" s="115">
        <v>13000</v>
      </c>
    </row>
    <row r="33" spans="1:34" s="1" customFormat="1" x14ac:dyDescent="0.2">
      <c r="A33" s="90" t="s">
        <v>23</v>
      </c>
      <c r="B33" s="115"/>
      <c r="C33" s="115"/>
      <c r="D33" s="115"/>
      <c r="E33" s="115"/>
      <c r="F33" s="115"/>
      <c r="G33" s="115"/>
      <c r="H33" s="115"/>
      <c r="I33" s="115"/>
      <c r="J33" s="115"/>
      <c r="K33" s="115"/>
      <c r="L33" s="115"/>
      <c r="M33" s="115"/>
      <c r="N33" s="115"/>
      <c r="O33" s="115"/>
      <c r="P33" s="115"/>
      <c r="Q33" s="115"/>
      <c r="R33" s="115">
        <v>10000</v>
      </c>
      <c r="S33" s="115">
        <v>10000</v>
      </c>
      <c r="T33" s="115">
        <v>10000</v>
      </c>
      <c r="U33" s="115"/>
      <c r="V33" s="115"/>
      <c r="W33" s="115"/>
      <c r="X33" s="115"/>
      <c r="Y33" s="115">
        <v>10000</v>
      </c>
      <c r="Z33" s="115">
        <v>10000</v>
      </c>
      <c r="AA33" s="115"/>
      <c r="AB33" s="115"/>
      <c r="AC33" s="116">
        <v>10000</v>
      </c>
      <c r="AD33" s="116">
        <v>10000</v>
      </c>
      <c r="AE33" s="115">
        <v>10000</v>
      </c>
      <c r="AF33" s="116">
        <v>10000</v>
      </c>
      <c r="AG33" s="115">
        <v>10000</v>
      </c>
      <c r="AH33" s="115">
        <v>10000</v>
      </c>
    </row>
    <row r="34" spans="1:34" s="1" customFormat="1" x14ac:dyDescent="0.2">
      <c r="A34" s="90" t="s">
        <v>20</v>
      </c>
      <c r="B34" s="115"/>
      <c r="C34" s="115"/>
      <c r="D34" s="115">
        <v>1000</v>
      </c>
      <c r="E34" s="115">
        <v>1000</v>
      </c>
      <c r="F34" s="115">
        <v>1000</v>
      </c>
      <c r="G34" s="115"/>
      <c r="H34" s="115"/>
      <c r="I34" s="115">
        <v>1000</v>
      </c>
      <c r="J34" s="115">
        <v>1000</v>
      </c>
      <c r="K34" s="115"/>
      <c r="L34" s="115"/>
      <c r="M34" s="115"/>
      <c r="N34" s="115"/>
      <c r="O34" s="115"/>
      <c r="P34" s="115">
        <v>1000</v>
      </c>
      <c r="Q34" s="115">
        <v>1000</v>
      </c>
      <c r="R34" s="115">
        <v>1000</v>
      </c>
      <c r="S34" s="115">
        <v>1000</v>
      </c>
      <c r="T34" s="115">
        <v>1000</v>
      </c>
      <c r="U34" s="115"/>
      <c r="V34" s="115"/>
      <c r="W34" s="115">
        <v>1000</v>
      </c>
      <c r="X34" s="115">
        <v>1000</v>
      </c>
      <c r="Y34" s="115">
        <v>1000</v>
      </c>
      <c r="Z34" s="115">
        <v>1000</v>
      </c>
      <c r="AA34" s="115">
        <v>1000</v>
      </c>
      <c r="AB34" s="115"/>
      <c r="AC34" s="116"/>
      <c r="AD34" s="116"/>
      <c r="AE34" s="115"/>
      <c r="AF34" s="116"/>
      <c r="AG34" s="115"/>
      <c r="AH34" s="115"/>
    </row>
    <row r="35" spans="1:34" s="1" customFormat="1" x14ac:dyDescent="0.2">
      <c r="A35" s="90" t="s">
        <v>21</v>
      </c>
      <c r="B35" s="115"/>
      <c r="C35" s="115"/>
      <c r="D35" s="115"/>
      <c r="E35" s="115">
        <v>2000</v>
      </c>
      <c r="F35" s="115">
        <v>2000</v>
      </c>
      <c r="G35" s="115"/>
      <c r="H35" s="115"/>
      <c r="I35" s="115">
        <v>2000</v>
      </c>
      <c r="J35" s="115">
        <v>2000</v>
      </c>
      <c r="K35" s="115"/>
      <c r="L35" s="115"/>
      <c r="M35" s="115"/>
      <c r="N35" s="115"/>
      <c r="O35" s="115"/>
      <c r="P35" s="115">
        <v>2000</v>
      </c>
      <c r="Q35" s="115">
        <v>2000</v>
      </c>
      <c r="R35" s="115">
        <v>2000</v>
      </c>
      <c r="S35" s="115">
        <v>2000</v>
      </c>
      <c r="T35" s="115">
        <v>2000</v>
      </c>
      <c r="U35" s="115"/>
      <c r="V35" s="115"/>
      <c r="W35" s="115"/>
      <c r="X35" s="115">
        <v>2000</v>
      </c>
      <c r="Y35" s="115">
        <v>2000</v>
      </c>
      <c r="Z35" s="115">
        <v>2000</v>
      </c>
      <c r="AA35" s="115"/>
      <c r="AB35" s="115"/>
      <c r="AC35" s="116"/>
      <c r="AD35" s="116"/>
      <c r="AE35" s="115"/>
      <c r="AF35" s="116"/>
      <c r="AG35" s="115"/>
      <c r="AH35" s="115"/>
    </row>
    <row r="36" spans="1:34" s="1" customFormat="1" x14ac:dyDescent="0.2">
      <c r="A36" s="90" t="s">
        <v>22</v>
      </c>
      <c r="B36" s="115"/>
      <c r="C36" s="115">
        <v>1500</v>
      </c>
      <c r="D36" s="115">
        <v>1500</v>
      </c>
      <c r="E36" s="115">
        <v>1500</v>
      </c>
      <c r="F36" s="115">
        <v>3000</v>
      </c>
      <c r="G36" s="115">
        <v>1500</v>
      </c>
      <c r="H36" s="115">
        <v>1500</v>
      </c>
      <c r="I36" s="115">
        <v>1500</v>
      </c>
      <c r="J36" s="115">
        <v>1500</v>
      </c>
      <c r="K36" s="115">
        <v>1500</v>
      </c>
      <c r="L36" s="115">
        <v>1500</v>
      </c>
      <c r="M36" s="115">
        <v>12000</v>
      </c>
      <c r="N36" s="115">
        <v>1500</v>
      </c>
      <c r="O36" s="115">
        <v>1500</v>
      </c>
      <c r="P36" s="115">
        <v>1500</v>
      </c>
      <c r="Q36" s="115">
        <v>1500</v>
      </c>
      <c r="R36" s="115">
        <v>1500</v>
      </c>
      <c r="S36" s="115">
        <v>1500</v>
      </c>
      <c r="T36" s="115">
        <v>1500</v>
      </c>
      <c r="U36" s="115">
        <v>1500</v>
      </c>
      <c r="V36" s="115">
        <v>1500</v>
      </c>
      <c r="W36" s="115">
        <v>1500</v>
      </c>
      <c r="X36" s="115">
        <v>1500</v>
      </c>
      <c r="Y36" s="115">
        <v>1500</v>
      </c>
      <c r="Z36" s="115">
        <v>1500</v>
      </c>
      <c r="AA36" s="115">
        <v>1500</v>
      </c>
      <c r="AB36" s="115">
        <v>1500</v>
      </c>
      <c r="AC36" s="116">
        <v>1500</v>
      </c>
      <c r="AD36" s="116">
        <v>1500</v>
      </c>
      <c r="AE36" s="115">
        <v>1500</v>
      </c>
      <c r="AF36" s="116">
        <v>1500</v>
      </c>
      <c r="AG36" s="115">
        <v>1500</v>
      </c>
      <c r="AH36" s="115">
        <v>1500</v>
      </c>
    </row>
    <row r="37" spans="1:34" s="1" customFormat="1" x14ac:dyDescent="0.2">
      <c r="A37" s="117" t="s">
        <v>24</v>
      </c>
      <c r="B37" s="118"/>
      <c r="C37" s="118"/>
      <c r="D37" s="118"/>
      <c r="E37" s="118"/>
      <c r="F37" s="118"/>
      <c r="G37" s="118"/>
      <c r="H37" s="118"/>
      <c r="I37" s="118"/>
      <c r="J37" s="118"/>
      <c r="K37" s="118"/>
      <c r="L37" s="118"/>
      <c r="M37" s="118"/>
      <c r="N37" s="118"/>
      <c r="O37" s="118"/>
      <c r="P37" s="118"/>
      <c r="Q37" s="118"/>
      <c r="R37" s="118"/>
      <c r="S37" s="118"/>
      <c r="T37" s="118">
        <v>5000</v>
      </c>
      <c r="U37" s="118"/>
      <c r="V37" s="118"/>
      <c r="W37" s="118"/>
      <c r="X37" s="118"/>
      <c r="Y37" s="118"/>
      <c r="Z37" s="118">
        <v>5000</v>
      </c>
      <c r="AA37" s="118"/>
      <c r="AB37" s="117"/>
      <c r="AC37" s="119"/>
      <c r="AD37" s="119">
        <v>5000</v>
      </c>
      <c r="AE37" s="118"/>
      <c r="AF37" s="119">
        <v>5000</v>
      </c>
      <c r="AG37" s="117"/>
      <c r="AH37" s="118">
        <v>5000</v>
      </c>
    </row>
    <row r="38" spans="1:34" x14ac:dyDescent="0.2">
      <c r="A38" s="36" t="s">
        <v>1</v>
      </c>
      <c r="B38" s="37">
        <f>SUM(B28:B37)</f>
        <v>0</v>
      </c>
      <c r="C38" s="37">
        <f t="shared" ref="C38:AH38" si="0">SUM(C28:C37)</f>
        <v>1500</v>
      </c>
      <c r="D38" s="37">
        <f t="shared" si="0"/>
        <v>8170</v>
      </c>
      <c r="E38" s="37">
        <f t="shared" si="0"/>
        <v>8170</v>
      </c>
      <c r="F38" s="37">
        <f t="shared" si="0"/>
        <v>9670</v>
      </c>
      <c r="G38" s="37">
        <f t="shared" si="0"/>
        <v>17170</v>
      </c>
      <c r="H38" s="37">
        <f t="shared" si="0"/>
        <v>24170</v>
      </c>
      <c r="I38" s="37">
        <f t="shared" si="0"/>
        <v>32170</v>
      </c>
      <c r="J38" s="37">
        <f t="shared" si="0"/>
        <v>39170</v>
      </c>
      <c r="K38" s="37">
        <f t="shared" si="0"/>
        <v>5170</v>
      </c>
      <c r="L38" s="37">
        <f t="shared" si="0"/>
        <v>5170</v>
      </c>
      <c r="M38" s="37">
        <f t="shared" si="0"/>
        <v>28670</v>
      </c>
      <c r="N38" s="37">
        <f t="shared" si="0"/>
        <v>19170</v>
      </c>
      <c r="O38" s="37">
        <f t="shared" si="0"/>
        <v>35370</v>
      </c>
      <c r="P38" s="37">
        <f t="shared" si="0"/>
        <v>16170</v>
      </c>
      <c r="Q38" s="37">
        <f t="shared" si="0"/>
        <v>20170</v>
      </c>
      <c r="R38" s="37">
        <f t="shared" si="0"/>
        <v>20170</v>
      </c>
      <c r="S38" s="37">
        <f t="shared" si="0"/>
        <v>21170</v>
      </c>
      <c r="T38" s="37">
        <f t="shared" si="0"/>
        <v>26170</v>
      </c>
      <c r="U38" s="37">
        <f t="shared" si="0"/>
        <v>27170</v>
      </c>
      <c r="V38" s="37">
        <f t="shared" si="0"/>
        <v>35170</v>
      </c>
      <c r="W38" s="37">
        <f t="shared" si="0"/>
        <v>34170</v>
      </c>
      <c r="X38" s="37">
        <f t="shared" si="0"/>
        <v>27170</v>
      </c>
      <c r="Y38" s="37">
        <f t="shared" si="0"/>
        <v>37170</v>
      </c>
      <c r="Z38" s="37">
        <f t="shared" si="0"/>
        <v>42170</v>
      </c>
      <c r="AA38" s="37">
        <f t="shared" si="0"/>
        <v>35170</v>
      </c>
      <c r="AB38" s="37">
        <f t="shared" si="0"/>
        <v>47470</v>
      </c>
      <c r="AC38" s="37">
        <f t="shared" si="0"/>
        <v>29170</v>
      </c>
      <c r="AD38" s="37">
        <f t="shared" si="0"/>
        <v>34170</v>
      </c>
      <c r="AE38" s="37">
        <f t="shared" si="0"/>
        <v>45370</v>
      </c>
      <c r="AF38" s="37">
        <f t="shared" si="0"/>
        <v>50370</v>
      </c>
      <c r="AG38" s="37">
        <f t="shared" si="0"/>
        <v>57470</v>
      </c>
      <c r="AH38" s="37">
        <f t="shared" si="0"/>
        <v>62470</v>
      </c>
    </row>
    <row r="39" spans="1:34" x14ac:dyDescent="0.2">
      <c r="A39" s="30" t="s">
        <v>159</v>
      </c>
      <c r="B39" s="125"/>
      <c r="C39" s="125"/>
      <c r="D39" s="125"/>
      <c r="E39" s="125"/>
      <c r="F39" s="125"/>
      <c r="G39" s="125">
        <v>0</v>
      </c>
      <c r="H39" s="125">
        <v>0</v>
      </c>
      <c r="I39" s="125"/>
      <c r="J39" s="125">
        <f>IF(J28+J31+J34+J35+J36&gt;60000,60000,J28+J31+J34+J35+J36)</f>
        <v>48500</v>
      </c>
      <c r="K39" s="125">
        <f>IF(K28+K31+K36&gt;60000,60000,K28+K31+K36)</f>
        <v>14500</v>
      </c>
      <c r="L39" s="125">
        <f>IF(L28+L31+L36&gt;60000,60000,L28+L31+L36)</f>
        <v>14500</v>
      </c>
      <c r="M39" s="125">
        <f>IF(M28+M31+M36&gt;60000,60000,M28+M31+M36)</f>
        <v>38000</v>
      </c>
      <c r="N39" s="125">
        <f>IF(N28+N31+N36&gt;60000,60000,N28+N31+N36)</f>
        <v>28500</v>
      </c>
      <c r="O39" s="125">
        <f>IF(O28+O31+O36&gt;60000,60000,O28+O31+O36)</f>
        <v>44700</v>
      </c>
      <c r="P39" s="125">
        <f>IF(P32&gt;60000,60000,P32)</f>
        <v>9000</v>
      </c>
      <c r="Q39" s="125">
        <f>IF(Q32&gt;60000,60000,Q32)</f>
        <v>13000</v>
      </c>
      <c r="R39" s="125"/>
      <c r="S39" s="125"/>
      <c r="T39" s="125"/>
      <c r="U39" s="125">
        <f>IF(U28+U30+U32+U36&gt;60000,60000,U28+U30+U32+U36)</f>
        <v>36500</v>
      </c>
      <c r="V39" s="125">
        <f>IF(V28+V30+V32+V36&gt;60000,60000,V28+V30+V32+V36)</f>
        <v>44500</v>
      </c>
      <c r="W39" s="125">
        <f>IF(W28-14000+W31+W36&gt;60000,60000,W28-14000+W31+W36)</f>
        <v>28500</v>
      </c>
      <c r="X39" s="125">
        <v>0</v>
      </c>
      <c r="Y39" s="125">
        <v>0</v>
      </c>
      <c r="Z39" s="125">
        <v>0</v>
      </c>
      <c r="AA39" s="125">
        <f>IF(AA28+AA31+AA34+AA35+AA36&gt;60000,60000,AA28+AA31+AA34+AA35+AA36)</f>
        <v>44500</v>
      </c>
      <c r="AB39" s="125">
        <f>IF(AB28+AB32+AB36&gt;60000,60000,AB28+AB32+AB36)</f>
        <v>56800</v>
      </c>
      <c r="AC39" s="125">
        <f>IF(AC28+AC31+AC36&gt;60000,60000,AC28+AC31+AC36)</f>
        <v>28500</v>
      </c>
      <c r="AD39" s="125">
        <f>IF(AD28+AD31+AD36&gt;60000,60000,AD28+AD31+AD36)</f>
        <v>28500</v>
      </c>
      <c r="AE39" s="125">
        <f>IF(AE28+AE31+AE36&gt;60000,60000,AE28+AE31+AE36)</f>
        <v>44700</v>
      </c>
      <c r="AF39" s="125">
        <f>IF(AF28+AF31+AF36&gt;60000,60000,AF28+AF31+AF36)</f>
        <v>44700</v>
      </c>
      <c r="AG39" s="125">
        <f>IF(AG28+AG32+AG36&gt;60000,60000,AG28+AG32+AG36)</f>
        <v>56800</v>
      </c>
      <c r="AH39" s="125">
        <f>IF(AH28+AH32+AH36&gt;60000,60000,AH28+AH32+AH36)</f>
        <v>56800</v>
      </c>
    </row>
    <row r="40" spans="1:34" x14ac:dyDescent="0.2">
      <c r="A40" s="30" t="s">
        <v>160</v>
      </c>
      <c r="B40" s="125"/>
      <c r="C40" s="125"/>
      <c r="D40" s="125"/>
      <c r="E40" s="125"/>
      <c r="F40" s="125"/>
      <c r="G40" s="125">
        <f>0.2*G39</f>
        <v>0</v>
      </c>
      <c r="H40" s="125">
        <f>0.2*H39</f>
        <v>0</v>
      </c>
      <c r="I40" s="125"/>
      <c r="J40" s="125">
        <f>J39*0.35</f>
        <v>16975</v>
      </c>
      <c r="K40" s="125">
        <f>K39*0.4</f>
        <v>5800</v>
      </c>
      <c r="L40" s="125">
        <f>0.4*L39</f>
        <v>5800</v>
      </c>
      <c r="M40" s="125">
        <f>0.4*M39</f>
        <v>15200</v>
      </c>
      <c r="N40" s="125">
        <f>0.4*N39</f>
        <v>11400</v>
      </c>
      <c r="O40" s="125">
        <f>0.4*O39</f>
        <v>17880</v>
      </c>
      <c r="P40" s="125">
        <f>0.25*P39</f>
        <v>2250</v>
      </c>
      <c r="Q40" s="125">
        <f>0.25*Q39</f>
        <v>3250</v>
      </c>
      <c r="R40" s="125"/>
      <c r="S40" s="125"/>
      <c r="T40" s="125"/>
      <c r="U40" s="125">
        <f>0.35*U32+0.2*(U39-U32)</f>
        <v>9250</v>
      </c>
      <c r="V40" s="125">
        <f>0.35*V32+0.2*(V39-V32)</f>
        <v>10850</v>
      </c>
      <c r="W40" s="125">
        <f>0.3*W39</f>
        <v>8550</v>
      </c>
      <c r="X40" s="125">
        <f>0.4*X39</f>
        <v>0</v>
      </c>
      <c r="Y40" s="125">
        <f>0.4*Y39</f>
        <v>0</v>
      </c>
      <c r="Z40" s="125">
        <f>0.4*Z39</f>
        <v>0</v>
      </c>
      <c r="AA40" s="125">
        <f>0.2*AA39</f>
        <v>8900</v>
      </c>
      <c r="AB40" s="125">
        <f>0.4*(AB39-AB32)+0.35*AB32</f>
        <v>22070</v>
      </c>
      <c r="AC40" s="125">
        <f>0.4*AC39</f>
        <v>11400</v>
      </c>
      <c r="AD40" s="125">
        <f>0.4*AD39</f>
        <v>11400</v>
      </c>
      <c r="AE40" s="125">
        <f>0.4*AE39</f>
        <v>17880</v>
      </c>
      <c r="AF40" s="125">
        <f>0.4*AF39</f>
        <v>17880</v>
      </c>
      <c r="AG40" s="125">
        <f>0.4*(AG39-AG32)+0.35*AG32</f>
        <v>22070</v>
      </c>
      <c r="AH40" s="125">
        <f>0.4*(AH39-AH32)+0.35*AH32</f>
        <v>22070</v>
      </c>
    </row>
    <row r="41" spans="1:34" x14ac:dyDescent="0.2">
      <c r="A41" s="30" t="s">
        <v>161</v>
      </c>
      <c r="B41" s="125"/>
      <c r="C41" s="125">
        <f>C38*0.15</f>
        <v>225</v>
      </c>
      <c r="D41" s="125">
        <v>225</v>
      </c>
      <c r="E41" s="125">
        <v>225</v>
      </c>
      <c r="F41" s="125">
        <v>225</v>
      </c>
      <c r="G41" s="125">
        <v>225</v>
      </c>
      <c r="H41" s="125">
        <v>225</v>
      </c>
      <c r="I41" s="125">
        <v>2400</v>
      </c>
      <c r="J41" s="125">
        <v>0</v>
      </c>
      <c r="K41" s="125">
        <v>0</v>
      </c>
      <c r="L41" s="125">
        <v>0</v>
      </c>
      <c r="M41" s="125"/>
      <c r="N41" s="125"/>
      <c r="O41" s="125"/>
      <c r="P41" s="125"/>
      <c r="Q41" s="125"/>
      <c r="R41" s="125">
        <v>225</v>
      </c>
      <c r="S41" s="125">
        <v>225</v>
      </c>
      <c r="T41" s="125">
        <v>225</v>
      </c>
      <c r="U41" s="125"/>
      <c r="V41" s="125"/>
      <c r="W41" s="125"/>
      <c r="X41" s="125">
        <v>225</v>
      </c>
      <c r="Y41" s="125">
        <v>225</v>
      </c>
      <c r="Z41" s="125">
        <v>225</v>
      </c>
      <c r="AA41" s="125"/>
      <c r="AB41" s="125"/>
      <c r="AC41" s="125"/>
      <c r="AD41" s="125"/>
      <c r="AE41" s="125"/>
      <c r="AF41" s="125"/>
      <c r="AG41" s="125"/>
      <c r="AH41" s="125"/>
    </row>
    <row r="42" spans="1:34" x14ac:dyDescent="0.2">
      <c r="A42" s="40" t="s">
        <v>6</v>
      </c>
      <c r="B42" s="38"/>
      <c r="C42" s="38">
        <f>C40+C41</f>
        <v>225</v>
      </c>
      <c r="D42" s="38">
        <f t="shared" ref="D42:AH42" si="1">D40+D41</f>
        <v>225</v>
      </c>
      <c r="E42" s="38">
        <f t="shared" si="1"/>
        <v>225</v>
      </c>
      <c r="F42" s="38">
        <f t="shared" si="1"/>
        <v>225</v>
      </c>
      <c r="G42" s="38">
        <f t="shared" si="1"/>
        <v>225</v>
      </c>
      <c r="H42" s="38">
        <f t="shared" si="1"/>
        <v>225</v>
      </c>
      <c r="I42" s="38">
        <f t="shared" si="1"/>
        <v>2400</v>
      </c>
      <c r="J42" s="38">
        <f t="shared" si="1"/>
        <v>16975</v>
      </c>
      <c r="K42" s="38">
        <f t="shared" si="1"/>
        <v>5800</v>
      </c>
      <c r="L42" s="38">
        <f t="shared" si="1"/>
        <v>5800</v>
      </c>
      <c r="M42" s="38">
        <f t="shared" si="1"/>
        <v>15200</v>
      </c>
      <c r="N42" s="38">
        <f t="shared" si="1"/>
        <v>11400</v>
      </c>
      <c r="O42" s="38">
        <f t="shared" si="1"/>
        <v>17880</v>
      </c>
      <c r="P42" s="38">
        <f t="shared" si="1"/>
        <v>2250</v>
      </c>
      <c r="Q42" s="38">
        <f t="shared" si="1"/>
        <v>3250</v>
      </c>
      <c r="R42" s="38">
        <f t="shared" si="1"/>
        <v>225</v>
      </c>
      <c r="S42" s="38">
        <f t="shared" si="1"/>
        <v>225</v>
      </c>
      <c r="T42" s="38">
        <f t="shared" si="1"/>
        <v>225</v>
      </c>
      <c r="U42" s="38">
        <f t="shared" si="1"/>
        <v>9250</v>
      </c>
      <c r="V42" s="38">
        <f t="shared" si="1"/>
        <v>10850</v>
      </c>
      <c r="W42" s="38">
        <f t="shared" si="1"/>
        <v>8550</v>
      </c>
      <c r="X42" s="38">
        <f t="shared" si="1"/>
        <v>225</v>
      </c>
      <c r="Y42" s="38">
        <f t="shared" si="1"/>
        <v>225</v>
      </c>
      <c r="Z42" s="38">
        <f t="shared" si="1"/>
        <v>225</v>
      </c>
      <c r="AA42" s="38">
        <f t="shared" si="1"/>
        <v>8900</v>
      </c>
      <c r="AB42" s="38">
        <f t="shared" si="1"/>
        <v>22070</v>
      </c>
      <c r="AC42" s="38">
        <f t="shared" si="1"/>
        <v>11400</v>
      </c>
      <c r="AD42" s="38">
        <f t="shared" si="1"/>
        <v>11400</v>
      </c>
      <c r="AE42" s="38">
        <f t="shared" si="1"/>
        <v>17880</v>
      </c>
      <c r="AF42" s="38">
        <f t="shared" si="1"/>
        <v>17880</v>
      </c>
      <c r="AG42" s="38">
        <f t="shared" si="1"/>
        <v>22070</v>
      </c>
      <c r="AH42" s="38">
        <f t="shared" si="1"/>
        <v>22070</v>
      </c>
    </row>
    <row r="43" spans="1:34" x14ac:dyDescent="0.2">
      <c r="A43" s="25" t="s">
        <v>25</v>
      </c>
      <c r="B43" s="29">
        <f t="shared" ref="B43:G43" si="2">B38-B42</f>
        <v>0</v>
      </c>
      <c r="C43" s="29">
        <f t="shared" si="2"/>
        <v>1275</v>
      </c>
      <c r="D43" s="29">
        <f t="shared" si="2"/>
        <v>7945</v>
      </c>
      <c r="E43" s="29">
        <f t="shared" si="2"/>
        <v>7945</v>
      </c>
      <c r="F43" s="29">
        <f t="shared" si="2"/>
        <v>9445</v>
      </c>
      <c r="G43" s="29">
        <f t="shared" si="2"/>
        <v>16945</v>
      </c>
      <c r="H43" s="29">
        <f t="shared" ref="H43:AH43" si="3">H38-H42</f>
        <v>23945</v>
      </c>
      <c r="I43" s="29">
        <f t="shared" si="3"/>
        <v>29770</v>
      </c>
      <c r="J43" s="29">
        <f t="shared" si="3"/>
        <v>22195</v>
      </c>
      <c r="K43" s="29">
        <f t="shared" si="3"/>
        <v>-630</v>
      </c>
      <c r="L43" s="29">
        <f t="shared" si="3"/>
        <v>-630</v>
      </c>
      <c r="M43" s="29">
        <f t="shared" si="3"/>
        <v>13470</v>
      </c>
      <c r="N43" s="29">
        <f t="shared" si="3"/>
        <v>7770</v>
      </c>
      <c r="O43" s="29">
        <f t="shared" si="3"/>
        <v>17490</v>
      </c>
      <c r="P43" s="29">
        <f t="shared" si="3"/>
        <v>13920</v>
      </c>
      <c r="Q43" s="29">
        <f t="shared" si="3"/>
        <v>16920</v>
      </c>
      <c r="R43" s="29">
        <f t="shared" si="3"/>
        <v>19945</v>
      </c>
      <c r="S43" s="29">
        <f t="shared" si="3"/>
        <v>20945</v>
      </c>
      <c r="T43" s="29">
        <f>T38-T42</f>
        <v>25945</v>
      </c>
      <c r="U43" s="29">
        <f>U38-U42</f>
        <v>17920</v>
      </c>
      <c r="V43" s="29">
        <f>V38-V42</f>
        <v>24320</v>
      </c>
      <c r="W43" s="29">
        <f>W38-W42</f>
        <v>25620</v>
      </c>
      <c r="X43" s="29">
        <f>X38-X42</f>
        <v>26945</v>
      </c>
      <c r="Y43" s="29">
        <f t="shared" si="3"/>
        <v>36945</v>
      </c>
      <c r="Z43" s="29">
        <f t="shared" si="3"/>
        <v>41945</v>
      </c>
      <c r="AA43" s="29">
        <f t="shared" si="3"/>
        <v>26270</v>
      </c>
      <c r="AB43" s="29">
        <f t="shared" si="3"/>
        <v>25400</v>
      </c>
      <c r="AC43" s="29">
        <f t="shared" si="3"/>
        <v>17770</v>
      </c>
      <c r="AD43" s="29">
        <f t="shared" si="3"/>
        <v>22770</v>
      </c>
      <c r="AE43" s="29">
        <f t="shared" si="3"/>
        <v>27490</v>
      </c>
      <c r="AF43" s="29">
        <f t="shared" si="3"/>
        <v>32490</v>
      </c>
      <c r="AG43" s="29">
        <f t="shared" si="3"/>
        <v>35400</v>
      </c>
      <c r="AH43" s="29">
        <f t="shared" si="3"/>
        <v>40400</v>
      </c>
    </row>
    <row r="44" spans="1:34" x14ac:dyDescent="0.2">
      <c r="A44" s="36" t="s">
        <v>132</v>
      </c>
      <c r="B44" s="37">
        <v>0</v>
      </c>
      <c r="C44" s="37">
        <f>C43-$B$38</f>
        <v>1275</v>
      </c>
      <c r="D44" s="37">
        <f t="shared" ref="D44:N44" si="4">D43-$B$43</f>
        <v>7945</v>
      </c>
      <c r="E44" s="37">
        <f t="shared" si="4"/>
        <v>7945</v>
      </c>
      <c r="F44" s="37">
        <f t="shared" si="4"/>
        <v>9445</v>
      </c>
      <c r="G44" s="37">
        <f t="shared" si="4"/>
        <v>16945</v>
      </c>
      <c r="H44" s="37">
        <f t="shared" si="4"/>
        <v>23945</v>
      </c>
      <c r="I44" s="37">
        <f t="shared" si="4"/>
        <v>29770</v>
      </c>
      <c r="J44" s="37">
        <f t="shared" si="4"/>
        <v>22195</v>
      </c>
      <c r="K44" s="37">
        <f t="shared" si="4"/>
        <v>-630</v>
      </c>
      <c r="L44" s="37">
        <f t="shared" si="4"/>
        <v>-630</v>
      </c>
      <c r="M44" s="37">
        <f t="shared" si="4"/>
        <v>13470</v>
      </c>
      <c r="N44" s="37">
        <f t="shared" si="4"/>
        <v>7770</v>
      </c>
      <c r="O44" s="37">
        <f>O43-$B$38</f>
        <v>17490</v>
      </c>
      <c r="P44" s="37">
        <f t="shared" ref="P44:AH44" si="5">P43-$B$43</f>
        <v>13920</v>
      </c>
      <c r="Q44" s="37">
        <f t="shared" si="5"/>
        <v>16920</v>
      </c>
      <c r="R44" s="37">
        <f t="shared" si="5"/>
        <v>19945</v>
      </c>
      <c r="S44" s="37">
        <f t="shared" si="5"/>
        <v>20945</v>
      </c>
      <c r="T44" s="37">
        <f t="shared" si="5"/>
        <v>25945</v>
      </c>
      <c r="U44" s="37">
        <f t="shared" si="5"/>
        <v>17920</v>
      </c>
      <c r="V44" s="37">
        <f t="shared" si="5"/>
        <v>24320</v>
      </c>
      <c r="W44" s="37">
        <f t="shared" si="5"/>
        <v>25620</v>
      </c>
      <c r="X44" s="37">
        <f t="shared" si="5"/>
        <v>26945</v>
      </c>
      <c r="Y44" s="37">
        <f t="shared" si="5"/>
        <v>36945</v>
      </c>
      <c r="Z44" s="37">
        <f t="shared" si="5"/>
        <v>41945</v>
      </c>
      <c r="AA44" s="37">
        <f t="shared" si="5"/>
        <v>26270</v>
      </c>
      <c r="AB44" s="37">
        <f t="shared" si="5"/>
        <v>25400</v>
      </c>
      <c r="AC44" s="37">
        <f t="shared" si="5"/>
        <v>17770</v>
      </c>
      <c r="AD44" s="37">
        <f t="shared" si="5"/>
        <v>22770</v>
      </c>
      <c r="AE44" s="37">
        <f t="shared" si="5"/>
        <v>27490</v>
      </c>
      <c r="AF44" s="37">
        <f t="shared" si="5"/>
        <v>32490</v>
      </c>
      <c r="AG44" s="37">
        <f t="shared" si="5"/>
        <v>35400</v>
      </c>
      <c r="AH44" s="37">
        <f t="shared" si="5"/>
        <v>40400</v>
      </c>
    </row>
    <row r="45" spans="1:34" x14ac:dyDescent="0.2">
      <c r="A45" s="42" t="s">
        <v>130</v>
      </c>
      <c r="B45" s="43">
        <v>35880</v>
      </c>
      <c r="C45" s="43">
        <v>28860</v>
      </c>
      <c r="D45" s="43">
        <v>25120</v>
      </c>
      <c r="E45" s="43">
        <v>25120</v>
      </c>
      <c r="F45" s="43">
        <v>23270</v>
      </c>
      <c r="G45" s="44">
        <v>35350</v>
      </c>
      <c r="H45" s="43">
        <v>26510</v>
      </c>
      <c r="I45" s="43">
        <v>32010</v>
      </c>
      <c r="J45" s="43">
        <v>29570</v>
      </c>
      <c r="K45" s="43">
        <v>25650</v>
      </c>
      <c r="L45" s="43">
        <v>25650</v>
      </c>
      <c r="M45" s="43">
        <v>6090</v>
      </c>
      <c r="N45" s="43">
        <v>10530</v>
      </c>
      <c r="O45" s="43">
        <v>6230</v>
      </c>
      <c r="P45" s="43">
        <v>21790</v>
      </c>
      <c r="Q45" s="43">
        <v>20400</v>
      </c>
      <c r="R45" s="43">
        <v>20000</v>
      </c>
      <c r="S45" s="43">
        <v>20000</v>
      </c>
      <c r="T45" s="43">
        <v>20000</v>
      </c>
      <c r="U45" s="43">
        <v>29890</v>
      </c>
      <c r="V45" s="43">
        <v>22010</v>
      </c>
      <c r="W45" s="43">
        <v>4900</v>
      </c>
      <c r="X45" s="43">
        <v>4900</v>
      </c>
      <c r="Y45" s="43">
        <v>4900</v>
      </c>
      <c r="Z45" s="43">
        <v>4900</v>
      </c>
      <c r="AA45" s="43">
        <v>4900</v>
      </c>
      <c r="AB45" s="43">
        <v>4140</v>
      </c>
      <c r="AC45" s="43">
        <v>0</v>
      </c>
      <c r="AD45" s="43">
        <v>0</v>
      </c>
      <c r="AE45" s="43">
        <v>0</v>
      </c>
      <c r="AF45" s="43">
        <v>0</v>
      </c>
      <c r="AG45" s="43">
        <v>0</v>
      </c>
      <c r="AH45" s="43">
        <v>0</v>
      </c>
    </row>
    <row r="46" spans="1:34" x14ac:dyDescent="0.2">
      <c r="A46" s="45" t="s">
        <v>131</v>
      </c>
      <c r="B46" s="46">
        <v>530</v>
      </c>
      <c r="C46" s="46">
        <v>440</v>
      </c>
      <c r="D46" s="46">
        <v>540</v>
      </c>
      <c r="E46" s="46">
        <v>540</v>
      </c>
      <c r="F46" s="46">
        <v>520</v>
      </c>
      <c r="G46" s="46">
        <v>500</v>
      </c>
      <c r="H46" s="46">
        <v>360</v>
      </c>
      <c r="I46" s="46">
        <v>0</v>
      </c>
      <c r="J46" s="46">
        <v>0</v>
      </c>
      <c r="K46" s="46">
        <v>310</v>
      </c>
      <c r="L46" s="46">
        <v>310</v>
      </c>
      <c r="M46" s="46">
        <v>360</v>
      </c>
      <c r="N46" s="46">
        <v>430</v>
      </c>
      <c r="O46" s="46">
        <v>520</v>
      </c>
      <c r="P46" s="46">
        <v>510</v>
      </c>
      <c r="Q46" s="46">
        <v>560</v>
      </c>
      <c r="R46" s="46">
        <v>1360</v>
      </c>
      <c r="S46" s="46">
        <v>220</v>
      </c>
      <c r="T46" s="46">
        <v>220</v>
      </c>
      <c r="U46" s="46">
        <v>530</v>
      </c>
      <c r="V46" s="46">
        <v>420</v>
      </c>
      <c r="W46" s="46">
        <v>5880</v>
      </c>
      <c r="X46" s="46">
        <v>5880</v>
      </c>
      <c r="Y46" s="46">
        <v>3760</v>
      </c>
      <c r="Z46" s="46">
        <v>3760</v>
      </c>
      <c r="AA46" s="46">
        <v>5880</v>
      </c>
      <c r="AB46" s="46">
        <v>520</v>
      </c>
      <c r="AC46" s="47">
        <v>8540</v>
      </c>
      <c r="AD46" s="47">
        <v>8540</v>
      </c>
      <c r="AE46" s="46">
        <v>4560</v>
      </c>
      <c r="AF46" s="46">
        <v>4560</v>
      </c>
      <c r="AG46" s="46">
        <v>2930</v>
      </c>
      <c r="AH46" s="46">
        <v>2930</v>
      </c>
    </row>
    <row r="47" spans="1:34" x14ac:dyDescent="0.2">
      <c r="A47" s="45" t="s">
        <v>56</v>
      </c>
      <c r="B47" s="46">
        <f>B45+B46</f>
        <v>36410</v>
      </c>
      <c r="C47" s="46">
        <f>C45+C46</f>
        <v>29300</v>
      </c>
      <c r="D47" s="46">
        <f t="shared" ref="D47:AH47" si="6">D45+D46</f>
        <v>25660</v>
      </c>
      <c r="E47" s="46">
        <f t="shared" si="6"/>
        <v>25660</v>
      </c>
      <c r="F47" s="46">
        <f t="shared" si="6"/>
        <v>23790</v>
      </c>
      <c r="G47" s="46">
        <f t="shared" si="6"/>
        <v>35850</v>
      </c>
      <c r="H47" s="46">
        <f t="shared" si="6"/>
        <v>26870</v>
      </c>
      <c r="I47" s="46">
        <f t="shared" si="6"/>
        <v>32010</v>
      </c>
      <c r="J47" s="46">
        <f t="shared" si="6"/>
        <v>29570</v>
      </c>
      <c r="K47" s="46">
        <f t="shared" si="6"/>
        <v>25960</v>
      </c>
      <c r="L47" s="46">
        <f t="shared" si="6"/>
        <v>25960</v>
      </c>
      <c r="M47" s="46">
        <f t="shared" si="6"/>
        <v>6450</v>
      </c>
      <c r="N47" s="46">
        <f t="shared" si="6"/>
        <v>10960</v>
      </c>
      <c r="O47" s="46">
        <f t="shared" si="6"/>
        <v>6750</v>
      </c>
      <c r="P47" s="46">
        <f t="shared" si="6"/>
        <v>22300</v>
      </c>
      <c r="Q47" s="46">
        <f>Q45+Q46</f>
        <v>20960</v>
      </c>
      <c r="R47" s="46">
        <f>R45+R46</f>
        <v>21360</v>
      </c>
      <c r="S47" s="46">
        <f t="shared" si="6"/>
        <v>20220</v>
      </c>
      <c r="T47" s="46">
        <f t="shared" si="6"/>
        <v>20220</v>
      </c>
      <c r="U47" s="46">
        <f t="shared" si="6"/>
        <v>30420</v>
      </c>
      <c r="V47" s="46">
        <f t="shared" si="6"/>
        <v>22430</v>
      </c>
      <c r="W47" s="46">
        <f t="shared" si="6"/>
        <v>10780</v>
      </c>
      <c r="X47" s="46">
        <f t="shared" si="6"/>
        <v>10780</v>
      </c>
      <c r="Y47" s="46">
        <f t="shared" si="6"/>
        <v>8660</v>
      </c>
      <c r="Z47" s="46">
        <f t="shared" si="6"/>
        <v>8660</v>
      </c>
      <c r="AA47" s="46">
        <f t="shared" si="6"/>
        <v>10780</v>
      </c>
      <c r="AB47" s="46">
        <f t="shared" si="6"/>
        <v>4660</v>
      </c>
      <c r="AC47" s="46">
        <f t="shared" si="6"/>
        <v>8540</v>
      </c>
      <c r="AD47" s="46">
        <f t="shared" si="6"/>
        <v>8540</v>
      </c>
      <c r="AE47" s="46">
        <f t="shared" si="6"/>
        <v>4560</v>
      </c>
      <c r="AF47" s="46">
        <f t="shared" si="6"/>
        <v>4560</v>
      </c>
      <c r="AG47" s="46">
        <f t="shared" si="6"/>
        <v>2930</v>
      </c>
      <c r="AH47" s="46">
        <f t="shared" si="6"/>
        <v>2930</v>
      </c>
    </row>
    <row r="48" spans="1:34" x14ac:dyDescent="0.2">
      <c r="A48" s="45" t="s">
        <v>125</v>
      </c>
      <c r="B48" s="48">
        <f>10*ROUND((B45*$B$7+B46*$B$13)/1000,0)</f>
        <v>5240</v>
      </c>
      <c r="C48" s="48">
        <f>10*ROUND((C45*$B$7+C46*$B$13)/1000,0)</f>
        <v>4220</v>
      </c>
      <c r="D48" s="48">
        <f>10*ROUND((D45*$B$7+D46*$B$13)/1000,0)</f>
        <v>3730</v>
      </c>
      <c r="E48" s="48">
        <f>10*ROUND((E45*$B$8+E46*$B$13)/1000,0)</f>
        <v>3230</v>
      </c>
      <c r="F48" s="48">
        <f>10*ROUND((F45*$B$8+F46*$B$13)/1000,0)</f>
        <v>3000</v>
      </c>
      <c r="G48" s="48">
        <f>10*ROUND((G45*$F$10+G46*$B$13)/1000,0)</f>
        <v>2060</v>
      </c>
      <c r="H48" s="48">
        <f>10*ROUND((H45*$F$11+H46*$B$13)/1000,0)</f>
        <v>1770</v>
      </c>
      <c r="I48" s="48">
        <f t="shared" ref="I48" si="7">10*ROUND((I45*$B$8+I46*$B$13)/1000,0)</f>
        <v>3840</v>
      </c>
      <c r="J48" s="48">
        <f>10*ROUND((J45*$B$9+J46*$B$13)/1000,0)</f>
        <v>3550</v>
      </c>
      <c r="K48" s="48">
        <f>10*ROUND((K45*$B$12+K46*$B$13)/1000,0)</f>
        <v>2560</v>
      </c>
      <c r="L48" s="48">
        <f>10*ROUND((L45*$B$12+L46*$B$13)/1000,0)</f>
        <v>2560</v>
      </c>
      <c r="M48" s="48">
        <f>10*ROUND((M45*$B$14+M46*$B$13)/1000,0)</f>
        <v>1970</v>
      </c>
      <c r="N48" s="48">
        <f>10*ROUND((N45*$B$14+N46*$B$13)/1000,0)</f>
        <v>3330</v>
      </c>
      <c r="O48" s="48">
        <f>10*ROUND((O45*$B$14+O46*$B$13)/1000,0)</f>
        <v>2080</v>
      </c>
      <c r="P48" s="48">
        <f>10*ROUND((P45*$B$8+P46*$B$13)/1000,0)</f>
        <v>2820</v>
      </c>
      <c r="Q48" s="48">
        <f>10*ROUND((Q45*$B$8+Q46*$B$13)/1000,0)</f>
        <v>2670</v>
      </c>
      <c r="R48" s="48">
        <f>10*ROUND((R45*$B$8+R46*$B$13)/1000,0)</f>
        <v>2940</v>
      </c>
      <c r="S48" s="48">
        <f>10*ROUND((S45*$B$8+S46*$B$13)/1000,0)</f>
        <v>2490</v>
      </c>
      <c r="T48" s="48">
        <f>10*ROUND((T45*$B$8+T46*$B$13)/1000,0)</f>
        <v>2490</v>
      </c>
      <c r="U48" s="48">
        <f>10*ROUND((U45*$F$10+U46*$B$13)/1000,0)</f>
        <v>1790</v>
      </c>
      <c r="V48" s="48">
        <f>10*ROUND((V45*$F$11+V46*$B$13)/1000,0)</f>
        <v>1520</v>
      </c>
      <c r="W48" s="48">
        <f>10*ROUND((W45*$B$7+W46*$B$14*1.02)/1000,0)</f>
        <v>2490</v>
      </c>
      <c r="X48" s="48">
        <f>10*ROUND((X45*$B$8+X46*$B$14*1.02)/1000,0)</f>
        <v>2390</v>
      </c>
      <c r="Y48" s="48">
        <f>10*ROUND((Y45*$B$8+Y46*$B$13)/1000,0)</f>
        <v>2090</v>
      </c>
      <c r="Z48" s="48">
        <f>10*ROUND((Z45*$B$8+Z46*$B$13)/1000,0)</f>
        <v>2090</v>
      </c>
      <c r="AA48" s="48">
        <f>10*ROUND((AA45*$F$11+AA46*$B$14*1.02)/1000,0)</f>
        <v>2100</v>
      </c>
      <c r="AB48" s="48">
        <f>10*ROUND((AB45*$B$14+AB46*$B$13)/1000,0)</f>
        <v>1450</v>
      </c>
      <c r="AC48" s="48">
        <f>10*ROUND((AC45*$B$14+AC46*$B$13)/1000,0)</f>
        <v>3420</v>
      </c>
      <c r="AD48" s="48">
        <f t="shared" ref="AD48:AH48" si="8">10*ROUND((AD45*$B$14+AD46*$B$13)/1000,0)</f>
        <v>3420</v>
      </c>
      <c r="AE48" s="48">
        <f t="shared" si="8"/>
        <v>1820</v>
      </c>
      <c r="AF48" s="48">
        <f t="shared" si="8"/>
        <v>1820</v>
      </c>
      <c r="AG48" s="48">
        <f t="shared" si="8"/>
        <v>1170</v>
      </c>
      <c r="AH48" s="48">
        <f t="shared" si="8"/>
        <v>1170</v>
      </c>
    </row>
    <row r="49" spans="1:34" x14ac:dyDescent="0.2">
      <c r="A49" s="45" t="s">
        <v>126</v>
      </c>
      <c r="B49" s="46">
        <v>0</v>
      </c>
      <c r="C49" s="46">
        <v>0</v>
      </c>
      <c r="D49" s="46">
        <v>0</v>
      </c>
      <c r="E49" s="46">
        <v>0</v>
      </c>
      <c r="F49" s="46">
        <v>0</v>
      </c>
      <c r="G49" s="46">
        <v>0</v>
      </c>
      <c r="H49" s="46">
        <v>0</v>
      </c>
      <c r="I49" s="46">
        <v>6750</v>
      </c>
      <c r="J49" s="46">
        <v>6390</v>
      </c>
      <c r="K49" s="46">
        <v>0</v>
      </c>
      <c r="L49" s="46">
        <v>0</v>
      </c>
      <c r="M49" s="46">
        <v>0</v>
      </c>
      <c r="N49" s="46">
        <v>0</v>
      </c>
      <c r="O49" s="46">
        <v>0</v>
      </c>
      <c r="P49" s="46">
        <v>0</v>
      </c>
      <c r="Q49" s="46">
        <v>0</v>
      </c>
      <c r="R49" s="46">
        <v>1130</v>
      </c>
      <c r="S49" s="46">
        <v>3130</v>
      </c>
      <c r="T49" s="46">
        <v>3130</v>
      </c>
      <c r="U49" s="46">
        <v>0</v>
      </c>
      <c r="V49" s="46">
        <v>0</v>
      </c>
      <c r="W49" s="46">
        <v>0</v>
      </c>
      <c r="X49" s="46">
        <v>0</v>
      </c>
      <c r="Y49" s="46">
        <v>2710</v>
      </c>
      <c r="Z49" s="46">
        <v>2710</v>
      </c>
      <c r="AA49" s="46">
        <v>0</v>
      </c>
      <c r="AB49" s="46">
        <v>0</v>
      </c>
      <c r="AC49" s="47">
        <v>2360</v>
      </c>
      <c r="AD49" s="47">
        <v>2360</v>
      </c>
      <c r="AE49" s="47">
        <v>2600</v>
      </c>
      <c r="AF49" s="47">
        <v>2600</v>
      </c>
      <c r="AG49" s="47">
        <v>3060</v>
      </c>
      <c r="AH49" s="47">
        <v>3060</v>
      </c>
    </row>
    <row r="50" spans="1:34" x14ac:dyDescent="0.2">
      <c r="A50" s="45" t="s">
        <v>133</v>
      </c>
      <c r="B50" s="46">
        <v>0</v>
      </c>
      <c r="C50" s="46">
        <v>0</v>
      </c>
      <c r="D50" s="46">
        <v>0</v>
      </c>
      <c r="E50" s="46">
        <v>0</v>
      </c>
      <c r="F50" s="46">
        <v>0</v>
      </c>
      <c r="G50" s="46">
        <v>0</v>
      </c>
      <c r="H50" s="46">
        <v>0</v>
      </c>
      <c r="I50" s="46">
        <v>2040</v>
      </c>
      <c r="J50" s="46">
        <v>2320</v>
      </c>
      <c r="K50" s="46">
        <v>0</v>
      </c>
      <c r="L50" s="46">
        <v>0</v>
      </c>
      <c r="M50" s="46">
        <v>0</v>
      </c>
      <c r="N50" s="46">
        <v>0</v>
      </c>
      <c r="O50" s="46">
        <v>0</v>
      </c>
      <c r="P50" s="46">
        <v>0</v>
      </c>
      <c r="Q50" s="46">
        <v>0</v>
      </c>
      <c r="R50" s="46">
        <v>340</v>
      </c>
      <c r="S50" s="46">
        <v>940</v>
      </c>
      <c r="T50" s="46">
        <v>1880</v>
      </c>
      <c r="U50" s="46">
        <v>0</v>
      </c>
      <c r="V50" s="46">
        <v>0</v>
      </c>
      <c r="W50" s="46">
        <v>0</v>
      </c>
      <c r="X50" s="46">
        <v>0</v>
      </c>
      <c r="Y50" s="46">
        <v>810</v>
      </c>
      <c r="Z50" s="46">
        <v>1620</v>
      </c>
      <c r="AA50" s="46">
        <v>0</v>
      </c>
      <c r="AB50" s="46">
        <v>0</v>
      </c>
      <c r="AC50" s="47">
        <v>710</v>
      </c>
      <c r="AD50" s="47">
        <v>1420</v>
      </c>
      <c r="AE50" s="47">
        <v>780</v>
      </c>
      <c r="AF50" s="47">
        <v>1560</v>
      </c>
      <c r="AG50" s="47">
        <v>920</v>
      </c>
      <c r="AH50" s="47">
        <v>1830</v>
      </c>
    </row>
    <row r="51" spans="1:34" x14ac:dyDescent="0.2">
      <c r="A51" s="45" t="s">
        <v>127</v>
      </c>
      <c r="B51" s="48">
        <f>10*ROUND(((B49-B50)*$B$15/100+B50*$B$13/100)/10,0)</f>
        <v>0</v>
      </c>
      <c r="C51" s="48">
        <f t="shared" ref="C51:AH51" si="9">10*ROUND(((C49-C50)*$B$15/100+C50*$B$13/100)/10,0)</f>
        <v>0</v>
      </c>
      <c r="D51" s="48">
        <f t="shared" si="9"/>
        <v>0</v>
      </c>
      <c r="E51" s="48">
        <f t="shared" si="9"/>
        <v>0</v>
      </c>
      <c r="F51" s="48">
        <f t="shared" si="9"/>
        <v>0</v>
      </c>
      <c r="G51" s="48">
        <f t="shared" si="9"/>
        <v>0</v>
      </c>
      <c r="H51" s="48">
        <f t="shared" si="9"/>
        <v>0</v>
      </c>
      <c r="I51" s="48">
        <f>10*ROUND(((I49-I50)*4/100+I50*$B$13/100)/10,0)</f>
        <v>1000</v>
      </c>
      <c r="J51" s="48">
        <f>10*ROUND(((J49-J50)*4/100+J50*$B$13/100)/10,0)</f>
        <v>1090</v>
      </c>
      <c r="K51" s="48">
        <f t="shared" si="9"/>
        <v>0</v>
      </c>
      <c r="L51" s="48">
        <f t="shared" si="9"/>
        <v>0</v>
      </c>
      <c r="M51" s="48">
        <f t="shared" si="9"/>
        <v>0</v>
      </c>
      <c r="N51" s="48">
        <f t="shared" si="9"/>
        <v>0</v>
      </c>
      <c r="O51" s="48">
        <f t="shared" si="9"/>
        <v>0</v>
      </c>
      <c r="P51" s="48">
        <f t="shared" si="9"/>
        <v>0</v>
      </c>
      <c r="Q51" s="48">
        <f t="shared" si="9"/>
        <v>0</v>
      </c>
      <c r="R51" s="48">
        <f t="shared" si="9"/>
        <v>200</v>
      </c>
      <c r="S51" s="48">
        <f t="shared" si="9"/>
        <v>560</v>
      </c>
      <c r="T51" s="48">
        <f t="shared" si="9"/>
        <v>850</v>
      </c>
      <c r="U51" s="48">
        <f t="shared" si="9"/>
        <v>0</v>
      </c>
      <c r="V51" s="48">
        <f t="shared" si="9"/>
        <v>0</v>
      </c>
      <c r="W51" s="48">
        <f t="shared" si="9"/>
        <v>0</v>
      </c>
      <c r="X51" s="48">
        <f t="shared" si="9"/>
        <v>0</v>
      </c>
      <c r="Y51" s="48">
        <f t="shared" si="9"/>
        <v>480</v>
      </c>
      <c r="Z51" s="48">
        <f t="shared" si="9"/>
        <v>740</v>
      </c>
      <c r="AA51" s="48">
        <f t="shared" si="9"/>
        <v>0</v>
      </c>
      <c r="AB51" s="48">
        <f t="shared" si="9"/>
        <v>0</v>
      </c>
      <c r="AC51" s="48">
        <f t="shared" si="9"/>
        <v>420</v>
      </c>
      <c r="AD51" s="48">
        <f t="shared" si="9"/>
        <v>650</v>
      </c>
      <c r="AE51" s="48">
        <f t="shared" si="9"/>
        <v>460</v>
      </c>
      <c r="AF51" s="48">
        <f t="shared" si="9"/>
        <v>710</v>
      </c>
      <c r="AG51" s="48">
        <f t="shared" si="9"/>
        <v>540</v>
      </c>
      <c r="AH51" s="48">
        <f t="shared" si="9"/>
        <v>830</v>
      </c>
    </row>
    <row r="52" spans="1:34" x14ac:dyDescent="0.2">
      <c r="A52" s="41" t="s">
        <v>128</v>
      </c>
      <c r="B52" s="39">
        <v>200</v>
      </c>
      <c r="C52" s="39">
        <v>200</v>
      </c>
      <c r="D52" s="39">
        <v>200</v>
      </c>
      <c r="E52" s="39">
        <v>200</v>
      </c>
      <c r="F52" s="39">
        <v>200</v>
      </c>
      <c r="G52" s="39">
        <v>400</v>
      </c>
      <c r="H52" s="39">
        <v>400</v>
      </c>
      <c r="I52" s="39">
        <v>400</v>
      </c>
      <c r="J52" s="39">
        <v>400</v>
      </c>
      <c r="K52" s="39">
        <v>0</v>
      </c>
      <c r="L52" s="39">
        <v>0</v>
      </c>
      <c r="M52" s="39">
        <v>50</v>
      </c>
      <c r="N52" s="39">
        <v>50</v>
      </c>
      <c r="O52" s="39">
        <v>50</v>
      </c>
      <c r="P52" s="39">
        <v>200</v>
      </c>
      <c r="Q52" s="39">
        <v>200</v>
      </c>
      <c r="R52" s="39">
        <v>350</v>
      </c>
      <c r="S52" s="39">
        <v>350</v>
      </c>
      <c r="T52" s="39">
        <v>480</v>
      </c>
      <c r="U52" s="39">
        <v>400</v>
      </c>
      <c r="V52" s="39">
        <v>400</v>
      </c>
      <c r="W52" s="39">
        <v>250</v>
      </c>
      <c r="X52" s="39">
        <v>250</v>
      </c>
      <c r="Y52" s="39">
        <v>400</v>
      </c>
      <c r="Z52" s="39">
        <v>530</v>
      </c>
      <c r="AA52" s="39">
        <v>450</v>
      </c>
      <c r="AB52" s="39">
        <v>100</v>
      </c>
      <c r="AC52" s="39">
        <v>200</v>
      </c>
      <c r="AD52" s="39">
        <v>330</v>
      </c>
      <c r="AE52" s="39">
        <v>200</v>
      </c>
      <c r="AF52" s="39">
        <v>330</v>
      </c>
      <c r="AG52" s="39">
        <v>250</v>
      </c>
      <c r="AH52" s="39">
        <v>380</v>
      </c>
    </row>
    <row r="53" spans="1:34" x14ac:dyDescent="0.2">
      <c r="A53" s="50" t="s">
        <v>129</v>
      </c>
      <c r="B53" s="51">
        <f>B48+B52-B51</f>
        <v>5440</v>
      </c>
      <c r="C53" s="51">
        <f>C48+C52-C51</f>
        <v>4420</v>
      </c>
      <c r="D53" s="51">
        <f t="shared" ref="D53:AB53" si="10">D48+D52-D51</f>
        <v>3930</v>
      </c>
      <c r="E53" s="51">
        <f t="shared" si="10"/>
        <v>3430</v>
      </c>
      <c r="F53" s="51">
        <f t="shared" si="10"/>
        <v>3200</v>
      </c>
      <c r="G53" s="51">
        <f t="shared" si="10"/>
        <v>2460</v>
      </c>
      <c r="H53" s="51">
        <f t="shared" si="10"/>
        <v>2170</v>
      </c>
      <c r="I53" s="51">
        <f t="shared" si="10"/>
        <v>3240</v>
      </c>
      <c r="J53" s="51">
        <f t="shared" si="10"/>
        <v>2860</v>
      </c>
      <c r="K53" s="51">
        <f t="shared" ref="K53:Q53" si="11">K48+K52-K51</f>
        <v>2560</v>
      </c>
      <c r="L53" s="51">
        <f t="shared" si="11"/>
        <v>2560</v>
      </c>
      <c r="M53" s="51">
        <f t="shared" si="11"/>
        <v>2020</v>
      </c>
      <c r="N53" s="51">
        <f t="shared" si="11"/>
        <v>3380</v>
      </c>
      <c r="O53" s="51">
        <f t="shared" si="11"/>
        <v>2130</v>
      </c>
      <c r="P53" s="51">
        <f t="shared" si="11"/>
        <v>3020</v>
      </c>
      <c r="Q53" s="51">
        <f t="shared" si="11"/>
        <v>2870</v>
      </c>
      <c r="R53" s="51">
        <f t="shared" ref="R53:T53" si="12">R48+R52-R51</f>
        <v>3090</v>
      </c>
      <c r="S53" s="51">
        <f t="shared" si="12"/>
        <v>2280</v>
      </c>
      <c r="T53" s="51">
        <f t="shared" si="12"/>
        <v>2120</v>
      </c>
      <c r="U53" s="51">
        <f>U48+U52-U51</f>
        <v>2190</v>
      </c>
      <c r="V53" s="51">
        <f t="shared" ref="V53:AA53" si="13">V48+V52-V51</f>
        <v>1920</v>
      </c>
      <c r="W53" s="51">
        <f t="shared" si="13"/>
        <v>2740</v>
      </c>
      <c r="X53" s="51">
        <f t="shared" si="13"/>
        <v>2640</v>
      </c>
      <c r="Y53" s="51">
        <f t="shared" si="13"/>
        <v>2010</v>
      </c>
      <c r="Z53" s="51">
        <f t="shared" si="13"/>
        <v>1880</v>
      </c>
      <c r="AA53" s="51">
        <f t="shared" si="13"/>
        <v>2550</v>
      </c>
      <c r="AB53" s="51">
        <f t="shared" si="10"/>
        <v>1550</v>
      </c>
      <c r="AC53" s="51">
        <f t="shared" ref="AC53:AH53" si="14">AC48+AC52-AC51</f>
        <v>3200</v>
      </c>
      <c r="AD53" s="51">
        <f t="shared" si="14"/>
        <v>3100</v>
      </c>
      <c r="AE53" s="51">
        <f t="shared" si="14"/>
        <v>1560</v>
      </c>
      <c r="AF53" s="51">
        <f t="shared" si="14"/>
        <v>1440</v>
      </c>
      <c r="AG53" s="51">
        <f t="shared" si="14"/>
        <v>880</v>
      </c>
      <c r="AH53" s="51">
        <f t="shared" si="14"/>
        <v>720</v>
      </c>
    </row>
    <row r="54" spans="1:34" x14ac:dyDescent="0.2">
      <c r="A54" s="36" t="s">
        <v>2</v>
      </c>
      <c r="B54" s="52">
        <v>0</v>
      </c>
      <c r="C54" s="52">
        <f t="shared" ref="C54:H54" si="15">-C44-20*(C53-$B$53)</f>
        <v>19125</v>
      </c>
      <c r="D54" s="52">
        <f t="shared" si="15"/>
        <v>22255</v>
      </c>
      <c r="E54" s="52">
        <f t="shared" si="15"/>
        <v>32255</v>
      </c>
      <c r="F54" s="52">
        <f t="shared" si="15"/>
        <v>35355</v>
      </c>
      <c r="G54" s="52">
        <f t="shared" si="15"/>
        <v>42655</v>
      </c>
      <c r="H54" s="52">
        <f t="shared" si="15"/>
        <v>41455</v>
      </c>
      <c r="I54" s="52">
        <f t="shared" ref="I54:J54" si="16">-I44-20*(I53-$B$53)</f>
        <v>14230</v>
      </c>
      <c r="J54" s="52">
        <f t="shared" si="16"/>
        <v>29405</v>
      </c>
      <c r="K54" s="52">
        <f t="shared" ref="K54" si="17">-K44-20*(K53-$B$53)</f>
        <v>58230</v>
      </c>
      <c r="L54" s="52">
        <f t="shared" ref="L54" si="18">-L44-20*(L53-$B$53)</f>
        <v>58230</v>
      </c>
      <c r="M54" s="52">
        <f t="shared" ref="M54" si="19">-M44-20*(M53-$B$53)</f>
        <v>54930</v>
      </c>
      <c r="N54" s="52">
        <f t="shared" ref="N54" si="20">-N44-20*(N53-$B$53)</f>
        <v>33430</v>
      </c>
      <c r="O54" s="52">
        <f t="shared" ref="O54" si="21">-O44-20*(O53-$B$53)</f>
        <v>48710</v>
      </c>
      <c r="P54" s="52">
        <f t="shared" ref="P54" si="22">-P44-20*(P53-$B$53)</f>
        <v>34480</v>
      </c>
      <c r="Q54" s="52">
        <f t="shared" ref="Q54" si="23">-Q44-20*(Q53-$B$53)</f>
        <v>34480</v>
      </c>
      <c r="R54" s="52">
        <f t="shared" ref="R54" si="24">-R44-20*(R53-$B$53)</f>
        <v>27055</v>
      </c>
      <c r="S54" s="52">
        <f t="shared" ref="S54" si="25">-S44-20*(S53-$B$53)</f>
        <v>42255</v>
      </c>
      <c r="T54" s="52">
        <f t="shared" ref="T54" si="26">-T44-20*(T53-$B$53)</f>
        <v>40455</v>
      </c>
      <c r="U54" s="52">
        <f t="shared" ref="U54" si="27">-U44-20*(U53-$B$53)</f>
        <v>47080</v>
      </c>
      <c r="V54" s="52">
        <f t="shared" ref="V54" si="28">-V44-20*(V53-$B$53)</f>
        <v>46080</v>
      </c>
      <c r="W54" s="52">
        <f t="shared" ref="W54" si="29">-W44-20*(W53-$B$53)</f>
        <v>28380</v>
      </c>
      <c r="X54" s="52">
        <f t="shared" ref="X54" si="30">-X44-20*(X53-$B$53)</f>
        <v>29055</v>
      </c>
      <c r="Y54" s="52">
        <f t="shared" ref="Y54" si="31">-Y44-20*(Y53-$B$53)</f>
        <v>31655</v>
      </c>
      <c r="Z54" s="52">
        <f t="shared" ref="Z54:AA54" si="32">-Z44-20*(Z53-$B$53)</f>
        <v>29255</v>
      </c>
      <c r="AA54" s="52">
        <f t="shared" si="32"/>
        <v>31530</v>
      </c>
      <c r="AB54" s="52">
        <f>-AB44-20*(AB53-$B$53)</f>
        <v>52400</v>
      </c>
      <c r="AC54" s="52">
        <f t="shared" ref="AC54:AH54" si="33">-AC44-20*(AC53-$B$53)</f>
        <v>27030</v>
      </c>
      <c r="AD54" s="52">
        <f t="shared" si="33"/>
        <v>24030</v>
      </c>
      <c r="AE54" s="52">
        <f t="shared" si="33"/>
        <v>50110</v>
      </c>
      <c r="AF54" s="52">
        <f t="shared" si="33"/>
        <v>47510</v>
      </c>
      <c r="AG54" s="52">
        <f t="shared" si="33"/>
        <v>55800</v>
      </c>
      <c r="AH54" s="52">
        <f t="shared" si="33"/>
        <v>54000</v>
      </c>
    </row>
    <row r="55" spans="1:34" x14ac:dyDescent="0.2">
      <c r="A55" s="36" t="s">
        <v>54</v>
      </c>
      <c r="B55" s="53"/>
      <c r="C55" s="54">
        <f>IF((($B$53-C53)=0),IF((C44&lt;=0),"sofort","nie"),IF((C44/($B$53-C53)&lt;=0),IF((C44&lt;=0),"sofort","nie"),C44/($B$53-C53)))</f>
        <v>1.25</v>
      </c>
      <c r="D55" s="54">
        <f t="shared" ref="D55:AH55" si="34">IF((($B$53-D53)=0),IF((D44&lt;=0),"sofort","nie"),IF((D44/($B$53-D53)&lt;=0),IF((D44&lt;=0),"sofort","nie"),D44/($B$53-D53)))</f>
        <v>5.2615894039735096</v>
      </c>
      <c r="E55" s="54">
        <f t="shared" si="34"/>
        <v>3.9527363184079602</v>
      </c>
      <c r="F55" s="54">
        <f t="shared" si="34"/>
        <v>4.2165178571428568</v>
      </c>
      <c r="G55" s="54">
        <f t="shared" si="34"/>
        <v>5.6862416107382554</v>
      </c>
      <c r="H55" s="54">
        <f t="shared" si="34"/>
        <v>7.3226299694189603</v>
      </c>
      <c r="I55" s="54">
        <f t="shared" si="34"/>
        <v>13.531818181818181</v>
      </c>
      <c r="J55" s="54">
        <f t="shared" si="34"/>
        <v>8.6027131782945734</v>
      </c>
      <c r="K55" s="54" t="str">
        <f t="shared" si="34"/>
        <v>sofort</v>
      </c>
      <c r="L55" s="54" t="str">
        <f t="shared" si="34"/>
        <v>sofort</v>
      </c>
      <c r="M55" s="54">
        <f t="shared" si="34"/>
        <v>3.9385964912280702</v>
      </c>
      <c r="N55" s="54">
        <f t="shared" si="34"/>
        <v>3.7718446601941746</v>
      </c>
      <c r="O55" s="54">
        <f t="shared" si="34"/>
        <v>5.2839879154078551</v>
      </c>
      <c r="P55" s="54">
        <f t="shared" si="34"/>
        <v>5.7520661157024797</v>
      </c>
      <c r="Q55" s="54">
        <f t="shared" si="34"/>
        <v>6.5836575875486378</v>
      </c>
      <c r="R55" s="54">
        <f t="shared" si="34"/>
        <v>8.487234042553192</v>
      </c>
      <c r="S55" s="54">
        <f t="shared" si="34"/>
        <v>6.6281645569620249</v>
      </c>
      <c r="T55" s="54">
        <f t="shared" si="34"/>
        <v>7.8147590361445785</v>
      </c>
      <c r="U55" s="54">
        <f t="shared" si="34"/>
        <v>5.5138461538461536</v>
      </c>
      <c r="V55" s="54">
        <f t="shared" si="34"/>
        <v>6.9090909090909092</v>
      </c>
      <c r="W55" s="54">
        <f t="shared" si="34"/>
        <v>9.4888888888888889</v>
      </c>
      <c r="X55" s="54">
        <f t="shared" si="34"/>
        <v>9.6232142857142851</v>
      </c>
      <c r="Y55" s="54">
        <f t="shared" si="34"/>
        <v>10.771137026239067</v>
      </c>
      <c r="Z55" s="54">
        <f t="shared" si="34"/>
        <v>11.782303370786517</v>
      </c>
      <c r="AA55" s="54">
        <f t="shared" si="34"/>
        <v>9.0899653979238746</v>
      </c>
      <c r="AB55" s="54">
        <f t="shared" si="34"/>
        <v>6.5295629820051415</v>
      </c>
      <c r="AC55" s="54">
        <f t="shared" si="34"/>
        <v>7.9330357142857144</v>
      </c>
      <c r="AD55" s="54">
        <f t="shared" si="34"/>
        <v>9.7307692307692299</v>
      </c>
      <c r="AE55" s="54">
        <f t="shared" si="34"/>
        <v>7.0850515463917523</v>
      </c>
      <c r="AF55" s="54">
        <f t="shared" si="34"/>
        <v>8.1225000000000005</v>
      </c>
      <c r="AG55" s="54">
        <f t="shared" si="34"/>
        <v>7.7631578947368425</v>
      </c>
      <c r="AH55" s="54">
        <f t="shared" si="34"/>
        <v>8.5593220338983045</v>
      </c>
    </row>
    <row r="56" spans="1:34" x14ac:dyDescent="0.2">
      <c r="A56" s="36" t="s">
        <v>55</v>
      </c>
      <c r="B56" s="55">
        <f>ROUND((B45*$I$7+B46*$I$14)/1000,1)</f>
        <v>11.4</v>
      </c>
      <c r="C56" s="55">
        <f t="shared" ref="C56:D56" si="35">ROUND((C45*$I$7+C46*$I$14)/1000,1)</f>
        <v>9.1999999999999993</v>
      </c>
      <c r="D56" s="55">
        <f t="shared" si="35"/>
        <v>8.1</v>
      </c>
      <c r="E56" s="55">
        <f>ROUND((E45*$I$8+E46*$I$14)/1000,1)</f>
        <v>6.3</v>
      </c>
      <c r="F56" s="55">
        <f>ROUND((F45*$I$8+(F46-F49)*$I$14)/1000,1)</f>
        <v>5.9</v>
      </c>
      <c r="G56" s="55">
        <f>ROUND((G45*$I$10+(G46-G49)*$I$14)/1000,1)</f>
        <v>1</v>
      </c>
      <c r="H56" s="55">
        <f>ROUND((H45*$I$11+H46*$I$14)/1000,1)</f>
        <v>1.3</v>
      </c>
      <c r="I56" s="55">
        <f t="shared" ref="I56" si="36">ROUND((I45*$I$8+(I46-I49)*$I$14)/1000,1)</f>
        <v>3.9</v>
      </c>
      <c r="J56" s="55">
        <f>ROUND((J45*$I$9+(J46-J49)*$I$14)/1000,1)</f>
        <v>0.9</v>
      </c>
      <c r="K56" s="55">
        <f>ROUND((K45*$I$12+K46*$I$14)/1000,1)</f>
        <v>4.8</v>
      </c>
      <c r="L56" s="55">
        <f>ROUND((L45*$I$13+L46*$I$14)/1000,1)</f>
        <v>1.7</v>
      </c>
      <c r="M56" s="55">
        <f>ROUND((M45*$I$14+M46*$I$14)/1000,1)</f>
        <v>3.6</v>
      </c>
      <c r="N56" s="55">
        <f t="shared" ref="N56:O56" si="37">ROUND((N45*$I$14+N46*$I$14)/1000,1)</f>
        <v>6.1</v>
      </c>
      <c r="O56" s="55">
        <f t="shared" si="37"/>
        <v>3.8</v>
      </c>
      <c r="P56" s="55">
        <f>ROUND((P45*$I$8+P46*$I$14)/1000,1)</f>
        <v>5.5</v>
      </c>
      <c r="Q56" s="55">
        <f>ROUND((Q45*$I$8+Q46*$I$14)/1000,1)</f>
        <v>5.2</v>
      </c>
      <c r="R56" s="55">
        <f>ROUND((R45*$I$8+(R46-R49)*$I$14)/1000,1)</f>
        <v>4.9000000000000004</v>
      </c>
      <c r="S56" s="55">
        <f t="shared" ref="S56:T56" si="38">ROUND((S45*$I$8+(S46-S49)*$I$14)/1000,1)</f>
        <v>3.2</v>
      </c>
      <c r="T56" s="55">
        <f t="shared" si="38"/>
        <v>3.2</v>
      </c>
      <c r="U56" s="55">
        <f>ROUND((U45*$I$10+U46*$I$14)/1000,1)</f>
        <v>0.9</v>
      </c>
      <c r="V56" s="55">
        <f>ROUND((V45*$I$11+V46*$I$14)/1000,1)</f>
        <v>1.1000000000000001</v>
      </c>
      <c r="W56" s="55">
        <f t="shared" ref="W56" si="39">ROUND((W45*$I$7+W46*$I$14)/1000,1)</f>
        <v>4.8</v>
      </c>
      <c r="X56" s="55">
        <f>ROUND((X45*$I$8+X46*$I$14)/1000,1)</f>
        <v>4.5</v>
      </c>
      <c r="Y56" s="55">
        <f>ROUND((Y45*$I$8+(Y46-Y49)*$I$14)/1000,1)</f>
        <v>1.8</v>
      </c>
      <c r="Z56" s="55">
        <f>ROUND((Z45*$I$8+(Z46-Z49)*$I$14)/1000,1)</f>
        <v>1.8</v>
      </c>
      <c r="AA56" s="55">
        <f>ROUND((AA45*$I$11+(AA46-AA49)*$I$14)/1000,1)</f>
        <v>3.5</v>
      </c>
      <c r="AB56" s="55">
        <f>ROUND((AB45*$I$14+(AB46-AB49)*$I$14)/1000,1)</f>
        <v>2.6</v>
      </c>
      <c r="AC56" s="55">
        <f t="shared" ref="AC56:AH56" si="40">ROUND((AC45*$I$14+(AC46-AC49)*$I$14)/1000,1)</f>
        <v>3.5</v>
      </c>
      <c r="AD56" s="55">
        <f t="shared" si="40"/>
        <v>3.5</v>
      </c>
      <c r="AE56" s="55">
        <f t="shared" si="40"/>
        <v>1.1000000000000001</v>
      </c>
      <c r="AF56" s="55">
        <f t="shared" si="40"/>
        <v>1.1000000000000001</v>
      </c>
      <c r="AG56" s="55">
        <f t="shared" si="40"/>
        <v>-0.1</v>
      </c>
      <c r="AH56" s="55">
        <f t="shared" si="40"/>
        <v>-0.1</v>
      </c>
    </row>
    <row r="57" spans="1:34" x14ac:dyDescent="0.2">
      <c r="A57" s="36" t="s">
        <v>3</v>
      </c>
      <c r="B57" s="56">
        <f t="shared" ref="B57:D57" si="41">IF(($B$16-B47)/$B$16&lt;0,0,($B$16-B47)/$B$16)</f>
        <v>0</v>
      </c>
      <c r="C57" s="56">
        <f t="shared" si="41"/>
        <v>0</v>
      </c>
      <c r="D57" s="56">
        <f t="shared" si="41"/>
        <v>0</v>
      </c>
      <c r="E57" s="56">
        <f>IF(($B$16-E47)/$B$16&lt;0,0,($B$16-E47)/$B$16)</f>
        <v>0</v>
      </c>
      <c r="F57" s="56">
        <f t="shared" ref="F57:AH57" si="42">IF(($B$16-F47)/$B$16&lt;0,0,($B$16-F47)/$B$16)</f>
        <v>0</v>
      </c>
      <c r="G57" s="56">
        <f t="shared" si="42"/>
        <v>0</v>
      </c>
      <c r="H57" s="56">
        <f t="shared" si="42"/>
        <v>0</v>
      </c>
      <c r="I57" s="56">
        <f t="shared" si="42"/>
        <v>0</v>
      </c>
      <c r="J57" s="56">
        <f t="shared" si="42"/>
        <v>0</v>
      </c>
      <c r="K57" s="56">
        <f t="shared" si="42"/>
        <v>0</v>
      </c>
      <c r="L57" s="56">
        <f t="shared" si="42"/>
        <v>0</v>
      </c>
      <c r="M57" s="56">
        <f t="shared" si="42"/>
        <v>0.68179575727676367</v>
      </c>
      <c r="N57" s="56">
        <f t="shared" si="42"/>
        <v>0.45929945732609767</v>
      </c>
      <c r="O57" s="56">
        <f t="shared" si="42"/>
        <v>0.66699555994079918</v>
      </c>
      <c r="P57" s="56">
        <f t="shared" si="42"/>
        <v>0</v>
      </c>
      <c r="Q57" s="56">
        <f t="shared" si="42"/>
        <v>0</v>
      </c>
      <c r="R57" s="56">
        <f t="shared" si="42"/>
        <v>0</v>
      </c>
      <c r="S57" s="56">
        <f t="shared" si="42"/>
        <v>2.4666995559940799E-3</v>
      </c>
      <c r="T57" s="56">
        <f t="shared" si="42"/>
        <v>2.4666995559940799E-3</v>
      </c>
      <c r="U57" s="56">
        <f t="shared" si="42"/>
        <v>0</v>
      </c>
      <c r="V57" s="56">
        <f t="shared" si="42"/>
        <v>0</v>
      </c>
      <c r="W57" s="56">
        <f t="shared" si="42"/>
        <v>0.46817957572767638</v>
      </c>
      <c r="X57" s="56">
        <f t="shared" si="42"/>
        <v>0.46817957572767638</v>
      </c>
      <c r="Y57" s="56">
        <f t="shared" si="42"/>
        <v>0.57276763690182531</v>
      </c>
      <c r="Z57" s="56">
        <f t="shared" si="42"/>
        <v>0.57276763690182531</v>
      </c>
      <c r="AA57" s="56">
        <f t="shared" si="42"/>
        <v>0.46817957572767638</v>
      </c>
      <c r="AB57" s="56">
        <f t="shared" si="42"/>
        <v>0.7701036013813517</v>
      </c>
      <c r="AC57" s="56">
        <f t="shared" si="42"/>
        <v>0.57868771583621115</v>
      </c>
      <c r="AD57" s="56">
        <f t="shared" si="42"/>
        <v>0.57868771583621115</v>
      </c>
      <c r="AE57" s="56">
        <f t="shared" si="42"/>
        <v>0.7750370004933399</v>
      </c>
      <c r="AF57" s="56">
        <f t="shared" si="42"/>
        <v>0.7750370004933399</v>
      </c>
      <c r="AG57" s="56">
        <f t="shared" si="42"/>
        <v>0.85545140601874692</v>
      </c>
      <c r="AH57" s="56">
        <f t="shared" si="42"/>
        <v>0.85545140601874692</v>
      </c>
    </row>
    <row r="58" spans="1:34" x14ac:dyDescent="0.2">
      <c r="A58" s="36" t="s">
        <v>5</v>
      </c>
      <c r="B58" s="56">
        <f>B50/$B$17</f>
        <v>0</v>
      </c>
      <c r="C58" s="56">
        <f>C50/$B$17</f>
        <v>0</v>
      </c>
      <c r="D58" s="56">
        <f t="shared" ref="D58:F58" si="43">D50/$B$17</f>
        <v>0</v>
      </c>
      <c r="E58" s="56">
        <f t="shared" si="43"/>
        <v>0</v>
      </c>
      <c r="F58" s="56">
        <f t="shared" si="43"/>
        <v>0</v>
      </c>
      <c r="G58" s="56">
        <f t="shared" ref="G58:L58" si="44">G50/$B$17</f>
        <v>0</v>
      </c>
      <c r="H58" s="56">
        <f t="shared" si="44"/>
        <v>0</v>
      </c>
      <c r="I58" s="56">
        <f t="shared" si="44"/>
        <v>0.51</v>
      </c>
      <c r="J58" s="56">
        <f t="shared" si="44"/>
        <v>0.57999999999999996</v>
      </c>
      <c r="K58" s="56">
        <f t="shared" si="44"/>
        <v>0</v>
      </c>
      <c r="L58" s="56">
        <f t="shared" si="44"/>
        <v>0</v>
      </c>
      <c r="M58" s="56"/>
      <c r="N58" s="56"/>
      <c r="O58" s="56">
        <f>O50/$B$17</f>
        <v>0</v>
      </c>
      <c r="P58" s="56">
        <f>P50/$B$17</f>
        <v>0</v>
      </c>
      <c r="Q58" s="56">
        <f>Q50/$B$17</f>
        <v>0</v>
      </c>
      <c r="R58" s="56">
        <f t="shared" ref="R58:T58" si="45">R50/$B$17</f>
        <v>8.5000000000000006E-2</v>
      </c>
      <c r="S58" s="56">
        <f t="shared" si="45"/>
        <v>0.23499999999999999</v>
      </c>
      <c r="T58" s="56">
        <f t="shared" si="45"/>
        <v>0.47</v>
      </c>
      <c r="U58" s="56">
        <f t="shared" ref="U58:AA58" si="46">U50/$B$17</f>
        <v>0</v>
      </c>
      <c r="V58" s="56">
        <f t="shared" si="46"/>
        <v>0</v>
      </c>
      <c r="W58" s="56">
        <f t="shared" si="46"/>
        <v>0</v>
      </c>
      <c r="X58" s="56">
        <f t="shared" si="46"/>
        <v>0</v>
      </c>
      <c r="Y58" s="56">
        <f t="shared" si="46"/>
        <v>0.20250000000000001</v>
      </c>
      <c r="Z58" s="56">
        <f t="shared" si="46"/>
        <v>0.40500000000000003</v>
      </c>
      <c r="AA58" s="56">
        <f t="shared" si="46"/>
        <v>0</v>
      </c>
      <c r="AB58" s="56">
        <f>AB50/$B$17</f>
        <v>0</v>
      </c>
      <c r="AC58" s="56">
        <f t="shared" ref="AC58:AH58" si="47">AC50/$B$17</f>
        <v>0.17749999999999999</v>
      </c>
      <c r="AD58" s="56">
        <f t="shared" si="47"/>
        <v>0.35499999999999998</v>
      </c>
      <c r="AE58" s="56">
        <f t="shared" si="47"/>
        <v>0.19500000000000001</v>
      </c>
      <c r="AF58" s="56">
        <f t="shared" si="47"/>
        <v>0.39</v>
      </c>
      <c r="AG58" s="56">
        <f t="shared" si="47"/>
        <v>0.23</v>
      </c>
      <c r="AH58" s="56">
        <f t="shared" si="47"/>
        <v>0.45750000000000002</v>
      </c>
    </row>
    <row r="59" spans="1:34" x14ac:dyDescent="0.2">
      <c r="A59" s="36" t="s">
        <v>29</v>
      </c>
      <c r="B59" s="57" t="s">
        <v>87</v>
      </c>
      <c r="C59" s="57" t="s">
        <v>87</v>
      </c>
      <c r="D59" s="57" t="s">
        <v>92</v>
      </c>
      <c r="E59" s="57" t="s">
        <v>92</v>
      </c>
      <c r="F59" s="57" t="s">
        <v>92</v>
      </c>
      <c r="G59" s="57" t="s">
        <v>87</v>
      </c>
      <c r="H59" s="57" t="s">
        <v>87</v>
      </c>
      <c r="I59" s="57" t="s">
        <v>92</v>
      </c>
      <c r="J59" s="57" t="s">
        <v>92</v>
      </c>
      <c r="K59" s="57" t="s">
        <v>92</v>
      </c>
      <c r="L59" s="57" t="s">
        <v>92</v>
      </c>
      <c r="M59" s="57" t="s">
        <v>28</v>
      </c>
      <c r="N59" s="57" t="s">
        <v>101</v>
      </c>
      <c r="O59" s="57" t="s">
        <v>28</v>
      </c>
      <c r="P59" s="57" t="s">
        <v>92</v>
      </c>
      <c r="Q59" s="57" t="s">
        <v>92</v>
      </c>
      <c r="R59" s="57" t="s">
        <v>92</v>
      </c>
      <c r="S59" s="57" t="s">
        <v>92</v>
      </c>
      <c r="T59" s="57" t="s">
        <v>92</v>
      </c>
      <c r="U59" s="57" t="s">
        <v>87</v>
      </c>
      <c r="V59" s="57" t="s">
        <v>92</v>
      </c>
      <c r="W59" s="57" t="s">
        <v>101</v>
      </c>
      <c r="X59" s="57" t="s">
        <v>101</v>
      </c>
      <c r="Y59" s="57" t="s">
        <v>46</v>
      </c>
      <c r="Z59" s="57" t="s">
        <v>46</v>
      </c>
      <c r="AA59" s="128" t="s">
        <v>46</v>
      </c>
      <c r="AB59" s="58" t="s">
        <v>30</v>
      </c>
      <c r="AC59" s="58" t="s">
        <v>46</v>
      </c>
      <c r="AD59" s="58" t="s">
        <v>46</v>
      </c>
      <c r="AE59" s="58" t="s">
        <v>30</v>
      </c>
      <c r="AF59" s="58" t="s">
        <v>30</v>
      </c>
      <c r="AG59" s="58" t="s">
        <v>31</v>
      </c>
      <c r="AH59" s="58" t="s">
        <v>31</v>
      </c>
    </row>
    <row r="60" spans="1:34" x14ac:dyDescent="0.2">
      <c r="D60" s="6"/>
      <c r="E60" s="6"/>
      <c r="I60" s="3"/>
    </row>
    <row r="61" spans="1:34" x14ac:dyDescent="0.2">
      <c r="B61" s="70"/>
      <c r="C61" s="61" t="s">
        <v>136</v>
      </c>
      <c r="D61" s="61"/>
      <c r="E61" s="61"/>
      <c r="F61" s="71"/>
      <c r="G61" s="72" t="s">
        <v>137</v>
      </c>
      <c r="H61" s="61"/>
      <c r="I61" s="62"/>
    </row>
    <row r="62" spans="1:34" x14ac:dyDescent="0.2">
      <c r="B62" s="73"/>
      <c r="C62" t="s">
        <v>138</v>
      </c>
      <c r="F62" s="74"/>
      <c r="G62" t="s">
        <v>139</v>
      </c>
      <c r="I62" s="65"/>
    </row>
    <row r="63" spans="1:34" x14ac:dyDescent="0.2">
      <c r="B63" s="75"/>
      <c r="C63" t="s">
        <v>140</v>
      </c>
      <c r="F63" s="76"/>
      <c r="G63" t="s">
        <v>141</v>
      </c>
      <c r="I63" s="65"/>
    </row>
    <row r="64" spans="1:34" x14ac:dyDescent="0.2">
      <c r="B64" s="77"/>
      <c r="C64" s="68" t="s">
        <v>142</v>
      </c>
      <c r="D64" s="68"/>
      <c r="E64" s="68"/>
      <c r="F64" s="68"/>
      <c r="G64" s="68"/>
      <c r="H64" s="68"/>
      <c r="I64" s="69"/>
    </row>
    <row r="66" spans="2:6" x14ac:dyDescent="0.2">
      <c r="B66" s="59"/>
      <c r="C66" s="60" t="s">
        <v>146</v>
      </c>
      <c r="D66" s="61"/>
      <c r="E66" s="61"/>
      <c r="F66" s="62"/>
    </row>
    <row r="67" spans="2:6" x14ac:dyDescent="0.2">
      <c r="B67" s="63" t="s">
        <v>147</v>
      </c>
      <c r="C67" s="64" t="s">
        <v>149</v>
      </c>
      <c r="F67" s="65"/>
    </row>
    <row r="68" spans="2:6" x14ac:dyDescent="0.2">
      <c r="B68" s="66" t="s">
        <v>148</v>
      </c>
      <c r="C68" s="67" t="s">
        <v>150</v>
      </c>
      <c r="D68" s="68"/>
      <c r="E68" s="68"/>
      <c r="F68" s="69"/>
    </row>
  </sheetData>
  <sheetProtection algorithmName="SHA-512" hashValue="IG2Ph4yDyWrf8YsT812hxFaoridNCvzD8X2hW1Zi5yvUTh4wFmuXsOM0MxuZzZOL0zTjRRY4/m8cDbdKz7HIxw==" saltValue="VnxkDe+IS3vOQxCdfvq8Lg==" spinCount="100000" sheet="1" objects="1" scenarios="1" selectLockedCells="1" selectUnlockedCells="1"/>
  <phoneticPr fontId="0" type="noConversion"/>
  <conditionalFormatting sqref="B55">
    <cfRule type="expression" dxfId="36" priority="17" stopIfTrue="1">
      <formula>OR(IF(B$44&gt;0,B$55&lt;=10,B$55&gt;30),B$55&lt;0)</formula>
    </cfRule>
    <cfRule type="expression" dxfId="35" priority="20" stopIfTrue="1">
      <formula>B$44&lt;0</formula>
    </cfRule>
  </conditionalFormatting>
  <conditionalFormatting sqref="B44:AH44">
    <cfRule type="cellIs" dxfId="34" priority="5" operator="lessThan">
      <formula>0</formula>
    </cfRule>
    <cfRule type="cellIs" dxfId="33" priority="6" stopIfTrue="1" operator="lessThanOrEqual">
      <formula>5000</formula>
    </cfRule>
  </conditionalFormatting>
  <conditionalFormatting sqref="B53:AH53">
    <cfRule type="cellIs" dxfId="32" priority="7" operator="greaterThan">
      <formula>$B$53</formula>
    </cfRule>
    <cfRule type="cellIs" dxfId="31" priority="24" stopIfTrue="1" operator="lessThanOrEqual">
      <formula>1500</formula>
    </cfRule>
  </conditionalFormatting>
  <conditionalFormatting sqref="B54:AH54">
    <cfRule type="cellIs" dxfId="30" priority="16" stopIfTrue="1" operator="greaterThanOrEqual">
      <formula>5000</formula>
    </cfRule>
  </conditionalFormatting>
  <conditionalFormatting sqref="B56:AH56">
    <cfRule type="cellIs" dxfId="29" priority="12" stopIfTrue="1" operator="greaterThan">
      <formula>$B$56</formula>
    </cfRule>
    <cfRule type="cellIs" dxfId="28" priority="15" stopIfTrue="1" operator="lessThanOrEqual">
      <formula>2</formula>
    </cfRule>
  </conditionalFormatting>
  <conditionalFormatting sqref="B57:AH57">
    <cfRule type="cellIs" dxfId="27" priority="11" stopIfTrue="1" operator="greaterThanOrEqual">
      <formula>0.5</formula>
    </cfRule>
  </conditionalFormatting>
  <conditionalFormatting sqref="B58:AH58">
    <cfRule type="cellIs" dxfId="26" priority="10" stopIfTrue="1" operator="greaterThanOrEqual">
      <formula>0.5</formula>
    </cfRule>
  </conditionalFormatting>
  <conditionalFormatting sqref="C55:AH55">
    <cfRule type="expression" dxfId="25" priority="1">
      <formula>OR(IF(C$44&gt;0,C$55&lt;=10,C$55&gt;30),C$57="sofort")</formula>
    </cfRule>
    <cfRule type="expression" dxfId="24" priority="2" stopIfTrue="1">
      <formula>C$44&lt;0</formula>
    </cfRule>
  </conditionalFormatting>
  <pageMargins left="0.39370078740157483" right="0.39370078740157483" top="0.98425196850393704" bottom="0.98425196850393704" header="0.51181102362204722" footer="0.51181102362204722"/>
  <pageSetup paperSize="9" scale="44" fitToWidth="2"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BP76"/>
  <sheetViews>
    <sheetView showGridLines="0" zoomScale="90" zoomScaleNormal="90" workbookViewId="0">
      <pane xSplit="1" topLeftCell="B1" activePane="topRight" state="frozen"/>
      <selection pane="topRight" activeCell="B6" sqref="B6"/>
    </sheetView>
  </sheetViews>
  <sheetFormatPr baseColWidth="10" defaultRowHeight="12.75" x14ac:dyDescent="0.2"/>
  <cols>
    <col min="1" max="1" width="36.140625" customWidth="1"/>
    <col min="2" max="34" width="17.7109375" customWidth="1"/>
  </cols>
  <sheetData>
    <row r="1" spans="1:36" s="2" customFormat="1" ht="23.25" x14ac:dyDescent="0.35">
      <c r="A1" s="7" t="s">
        <v>152</v>
      </c>
      <c r="B1" s="2" t="s">
        <v>151</v>
      </c>
    </row>
    <row r="2" spans="1:36" s="2" customFormat="1" ht="23.25" x14ac:dyDescent="0.35">
      <c r="A2" s="7"/>
      <c r="B2" s="78" t="s">
        <v>172</v>
      </c>
    </row>
    <row r="3" spans="1:36" s="2" customFormat="1" ht="23.25" x14ac:dyDescent="0.35">
      <c r="A3" s="7"/>
      <c r="B3" s="64" t="s">
        <v>173</v>
      </c>
      <c r="C3"/>
      <c r="D3"/>
      <c r="E3"/>
      <c r="F3"/>
    </row>
    <row r="4" spans="1:36" s="2" customFormat="1" ht="24.95" customHeight="1" x14ac:dyDescent="0.35">
      <c r="A4" s="7"/>
      <c r="B4" s="129" t="s">
        <v>166</v>
      </c>
      <c r="C4" s="130"/>
      <c r="D4" s="130"/>
      <c r="E4" s="130"/>
      <c r="F4" s="130"/>
      <c r="AI4" s="136"/>
      <c r="AJ4" s="136"/>
    </row>
    <row r="5" spans="1:36" ht="12.75" customHeight="1" x14ac:dyDescent="0.2">
      <c r="A5" s="10"/>
      <c r="B5" s="11"/>
      <c r="C5" s="11"/>
      <c r="D5" s="11"/>
      <c r="E5" s="11"/>
      <c r="F5" s="89" t="s">
        <v>80</v>
      </c>
      <c r="G5" s="81"/>
      <c r="H5" s="11"/>
      <c r="I5" s="11"/>
      <c r="J5" s="11"/>
      <c r="K5" s="11"/>
      <c r="L5" s="12"/>
      <c r="AI5" s="103" t="s">
        <v>63</v>
      </c>
      <c r="AJ5" s="103"/>
    </row>
    <row r="6" spans="1:36" x14ac:dyDescent="0.2">
      <c r="A6" s="21" t="s">
        <v>143</v>
      </c>
      <c r="B6" s="82">
        <v>3560</v>
      </c>
      <c r="C6" s="83" t="s">
        <v>144</v>
      </c>
      <c r="D6" s="84" t="str">
        <f>IF(OR((B18&lt;12000),(B18&gt;28000)),"Wert außerhalb","gültiger Wert")</f>
        <v>gültiger Wert</v>
      </c>
      <c r="E6" s="9"/>
      <c r="F6" s="95">
        <v>3560</v>
      </c>
      <c r="G6" s="88" t="s">
        <v>144</v>
      </c>
      <c r="H6" s="9"/>
      <c r="I6" s="9"/>
      <c r="J6" s="9"/>
      <c r="K6" s="9"/>
      <c r="L6" s="14"/>
      <c r="AI6" s="103">
        <f>B18/'Haustechnikvarianten gesamt'!B16</f>
        <v>1</v>
      </c>
      <c r="AJ6" s="103"/>
    </row>
    <row r="7" spans="1:36" x14ac:dyDescent="0.2">
      <c r="A7" s="21" t="s">
        <v>169</v>
      </c>
      <c r="B7" s="86">
        <v>0.56950000000000001</v>
      </c>
      <c r="C7" s="83"/>
      <c r="D7" s="84" t="str">
        <f>IF(OR((B7&lt;0.5),(B7&gt;1)),"Wert außerhalb","gültiger Wert")</f>
        <v>gültiger Wert</v>
      </c>
      <c r="E7" s="9"/>
      <c r="F7" s="134">
        <f>'Haustechnikvarianten gesamt'!$B$16/(10*'Haustechnikvarianten gesamt'!$B$5)</f>
        <v>0.56938202247191017</v>
      </c>
      <c r="G7" s="88"/>
      <c r="H7" s="9"/>
      <c r="I7" s="9"/>
      <c r="J7" s="9"/>
      <c r="K7" s="9"/>
      <c r="L7" s="14"/>
      <c r="AI7" s="103"/>
      <c r="AJ7" s="103"/>
    </row>
    <row r="8" spans="1:36" x14ac:dyDescent="0.2">
      <c r="A8" s="21" t="s">
        <v>57</v>
      </c>
      <c r="B8" s="82">
        <v>1000</v>
      </c>
      <c r="C8" s="84" t="s">
        <v>58</v>
      </c>
      <c r="D8" s="84" t="str">
        <f>IF(OR((B8&lt;600),(B8&gt;1200)),"Wert außerhalb","gültiger Wert")</f>
        <v>gültiger Wert</v>
      </c>
      <c r="E8" s="9"/>
      <c r="F8" s="95">
        <v>1000</v>
      </c>
      <c r="G8" s="88" t="s">
        <v>58</v>
      </c>
      <c r="H8" s="21" t="s">
        <v>73</v>
      </c>
      <c r="I8" s="22"/>
      <c r="J8" s="23"/>
      <c r="K8" s="92" t="s">
        <v>80</v>
      </c>
      <c r="L8" s="88"/>
      <c r="M8" s="5"/>
      <c r="N8" s="4"/>
      <c r="O8" s="5"/>
      <c r="P8" s="4"/>
      <c r="Q8" s="4"/>
      <c r="AI8" s="103">
        <f>B8/'Haustechnikvarianten gesamt'!B6</f>
        <v>1</v>
      </c>
      <c r="AJ8" s="103"/>
    </row>
    <row r="9" spans="1:36" x14ac:dyDescent="0.2">
      <c r="A9" s="21" t="s">
        <v>123</v>
      </c>
      <c r="B9" s="79">
        <v>14</v>
      </c>
      <c r="C9" s="84" t="s">
        <v>61</v>
      </c>
      <c r="D9" s="84" t="str">
        <f>IF(OR((B9&lt;3),(B9&gt;100)),"Wert prüfen","gültiger Wert")</f>
        <v>gültiger Wert</v>
      </c>
      <c r="E9" s="9"/>
      <c r="F9" s="124">
        <v>14</v>
      </c>
      <c r="G9" s="88" t="s">
        <v>61</v>
      </c>
      <c r="H9" s="24" t="s">
        <v>124</v>
      </c>
      <c r="I9" s="91">
        <v>0.31</v>
      </c>
      <c r="J9" s="23" t="s">
        <v>78</v>
      </c>
      <c r="K9" s="133">
        <v>0.31</v>
      </c>
      <c r="L9" s="88" t="s">
        <v>78</v>
      </c>
      <c r="M9" s="5"/>
      <c r="N9" s="4"/>
      <c r="O9" s="5"/>
      <c r="P9" s="4"/>
      <c r="Q9" s="4"/>
      <c r="AI9" s="103"/>
      <c r="AJ9" s="103"/>
    </row>
    <row r="10" spans="1:36" x14ac:dyDescent="0.2">
      <c r="A10" s="21" t="s">
        <v>59</v>
      </c>
      <c r="B10" s="79">
        <v>12</v>
      </c>
      <c r="C10" s="84" t="s">
        <v>61</v>
      </c>
      <c r="D10" s="84" t="str">
        <f>IF(OR((B10&lt;3),(B10&gt;100)),"Wert prüfen","gültiger Wert")</f>
        <v>gültiger Wert</v>
      </c>
      <c r="E10" s="9"/>
      <c r="F10" s="124">
        <v>12</v>
      </c>
      <c r="G10" s="88" t="s">
        <v>61</v>
      </c>
      <c r="H10" s="24" t="s">
        <v>74</v>
      </c>
      <c r="I10" s="91">
        <v>0.24</v>
      </c>
      <c r="J10" s="23" t="s">
        <v>78</v>
      </c>
      <c r="K10" s="133">
        <v>0.24</v>
      </c>
      <c r="L10" s="88" t="s">
        <v>78</v>
      </c>
      <c r="M10" s="5"/>
      <c r="N10" s="4"/>
      <c r="O10" s="5"/>
      <c r="P10" s="4"/>
      <c r="Q10" s="4"/>
      <c r="AI10" s="103"/>
      <c r="AJ10" s="103"/>
    </row>
    <row r="11" spans="1:36" x14ac:dyDescent="0.2">
      <c r="A11" s="21" t="s">
        <v>167</v>
      </c>
      <c r="B11" s="79">
        <v>12</v>
      </c>
      <c r="C11" s="84" t="s">
        <v>61</v>
      </c>
      <c r="D11" s="84" t="str">
        <f>IF(OR((B11&lt;3),(B11&gt;100)),"Wert prüfen","gültiger Wert")</f>
        <v>gültiger Wert</v>
      </c>
      <c r="E11" s="9"/>
      <c r="F11" s="124">
        <v>12</v>
      </c>
      <c r="G11" s="88" t="s">
        <v>61</v>
      </c>
      <c r="H11" s="24" t="s">
        <v>168</v>
      </c>
      <c r="I11" s="91">
        <v>0.152</v>
      </c>
      <c r="J11" s="23" t="s">
        <v>78</v>
      </c>
      <c r="K11" s="133">
        <v>0.152</v>
      </c>
      <c r="L11" s="88" t="s">
        <v>78</v>
      </c>
      <c r="M11" s="5"/>
      <c r="N11" s="4"/>
      <c r="O11" s="5"/>
      <c r="P11" s="4"/>
      <c r="Q11" s="4"/>
      <c r="AI11" s="103"/>
      <c r="AJ11" s="103"/>
    </row>
    <row r="12" spans="1:36" x14ac:dyDescent="0.2">
      <c r="A12" s="21" t="s">
        <v>65</v>
      </c>
      <c r="B12" s="82">
        <v>100</v>
      </c>
      <c r="C12" s="84" t="s">
        <v>67</v>
      </c>
      <c r="D12" s="24" t="str">
        <f>IF(OR((B12&lt;10),(B12&gt;1000)),"Wert prüfen","gültiger Wert")</f>
        <v>gültiger Wert</v>
      </c>
      <c r="E12" s="94">
        <f>B12/'Haustechnikvarianten gesamt'!D10*100</f>
        <v>5.2631578947368416</v>
      </c>
      <c r="F12" s="93">
        <v>100</v>
      </c>
      <c r="G12" s="85" t="s">
        <v>67</v>
      </c>
      <c r="H12" s="24" t="s">
        <v>75</v>
      </c>
      <c r="I12" s="91">
        <v>0.02</v>
      </c>
      <c r="J12" s="23" t="s">
        <v>78</v>
      </c>
      <c r="K12" s="133">
        <v>0.02</v>
      </c>
      <c r="L12" s="88" t="s">
        <v>78</v>
      </c>
      <c r="M12" s="4"/>
      <c r="N12" s="5"/>
      <c r="O12" s="4"/>
      <c r="P12" s="5"/>
      <c r="Q12" s="4"/>
      <c r="R12" s="4"/>
      <c r="AI12" s="103"/>
      <c r="AJ12" s="103"/>
    </row>
    <row r="13" spans="1:36" x14ac:dyDescent="0.2">
      <c r="A13" s="21" t="s">
        <v>66</v>
      </c>
      <c r="B13" s="82">
        <v>300</v>
      </c>
      <c r="C13" s="84" t="s">
        <v>68</v>
      </c>
      <c r="D13" s="24" t="str">
        <f>IF(OR((B13&lt;150),(B13&gt;1000)),"Wert prüfen","gültiger Wert")</f>
        <v>gültiger Wert</v>
      </c>
      <c r="E13" s="94">
        <f>B13/'Haustechnikvarianten gesamt'!D11*100</f>
        <v>6.1224489795918364</v>
      </c>
      <c r="F13" s="93">
        <v>300</v>
      </c>
      <c r="G13" s="85" t="s">
        <v>68</v>
      </c>
      <c r="H13" s="24" t="s">
        <v>76</v>
      </c>
      <c r="I13" s="91">
        <v>4.1000000000000002E-2</v>
      </c>
      <c r="J13" s="23" t="s">
        <v>78</v>
      </c>
      <c r="K13" s="133">
        <v>4.1000000000000002E-2</v>
      </c>
      <c r="L13" s="88" t="s">
        <v>78</v>
      </c>
      <c r="M13" s="4"/>
      <c r="N13" s="5"/>
      <c r="O13" s="4"/>
      <c r="P13" s="5"/>
      <c r="Q13" s="4"/>
      <c r="R13" s="4"/>
      <c r="AI13" s="103"/>
      <c r="AJ13" s="103"/>
    </row>
    <row r="14" spans="1:36" x14ac:dyDescent="0.2">
      <c r="A14" s="21" t="s">
        <v>72</v>
      </c>
      <c r="B14" s="86">
        <v>9.5</v>
      </c>
      <c r="C14" s="84" t="s">
        <v>61</v>
      </c>
      <c r="D14" s="84" t="str">
        <f>IF(OR((B14&lt;5),(B14&gt;100)),"Wert prüfen","gültiger Wert")</f>
        <v>gültiger Wert</v>
      </c>
      <c r="E14" s="9"/>
      <c r="F14" s="93">
        <v>12</v>
      </c>
      <c r="G14" s="88" t="s">
        <v>61</v>
      </c>
      <c r="H14" s="24" t="s">
        <v>77</v>
      </c>
      <c r="I14" s="91">
        <v>0.18</v>
      </c>
      <c r="J14" s="23" t="s">
        <v>78</v>
      </c>
      <c r="K14" s="133">
        <v>0.18</v>
      </c>
      <c r="L14" s="88" t="s">
        <v>78</v>
      </c>
      <c r="M14" s="4"/>
      <c r="N14" s="5"/>
      <c r="O14" s="4"/>
      <c r="P14" s="5"/>
      <c r="Q14" s="4"/>
      <c r="R14" s="4"/>
      <c r="AI14" s="103"/>
      <c r="AJ14" s="103"/>
    </row>
    <row r="15" spans="1:36" x14ac:dyDescent="0.2">
      <c r="A15" s="21" t="s">
        <v>60</v>
      </c>
      <c r="B15" s="79">
        <v>40</v>
      </c>
      <c r="C15" s="84" t="s">
        <v>61</v>
      </c>
      <c r="D15" s="84" t="str">
        <f>IF(OR((B15&lt;20),(B15&gt;200)),"Wert prüfen","gültiger Wert")</f>
        <v>gültiger Wert</v>
      </c>
      <c r="E15" s="9"/>
      <c r="F15" s="124">
        <v>32</v>
      </c>
      <c r="G15" s="88" t="s">
        <v>61</v>
      </c>
      <c r="H15" s="24" t="s">
        <v>79</v>
      </c>
      <c r="I15" s="91">
        <v>0.06</v>
      </c>
      <c r="J15" s="23" t="s">
        <v>78</v>
      </c>
      <c r="K15" s="133">
        <v>0.06</v>
      </c>
      <c r="L15" s="88" t="s">
        <v>78</v>
      </c>
      <c r="M15" s="5"/>
      <c r="N15" s="4"/>
      <c r="O15" s="5"/>
      <c r="P15" s="4"/>
      <c r="Q15" s="4"/>
      <c r="AI15" s="103"/>
      <c r="AJ15" s="103"/>
    </row>
    <row r="16" spans="1:36" x14ac:dyDescent="0.2">
      <c r="A16" s="21" t="s">
        <v>62</v>
      </c>
      <c r="B16" s="79">
        <v>30</v>
      </c>
      <c r="C16" s="84" t="s">
        <v>61</v>
      </c>
      <c r="D16" s="84" t="str">
        <f>IF(OR((B16&lt;10),(B16&gt;200)),"Wert prüfen","gültiger Wert")</f>
        <v>gültiger Wert</v>
      </c>
      <c r="E16" s="9"/>
      <c r="F16" s="124">
        <v>30</v>
      </c>
      <c r="G16" s="88" t="s">
        <v>61</v>
      </c>
      <c r="H16" s="24" t="s">
        <v>64</v>
      </c>
      <c r="I16" s="91">
        <v>0.56000000000000005</v>
      </c>
      <c r="J16" s="23" t="s">
        <v>78</v>
      </c>
      <c r="K16" s="133">
        <v>0.56000000000000005</v>
      </c>
      <c r="L16" s="88" t="s">
        <v>78</v>
      </c>
      <c r="M16" s="5"/>
      <c r="N16" s="4"/>
      <c r="O16" s="5"/>
      <c r="P16" s="4"/>
      <c r="Q16" s="4"/>
      <c r="AI16" s="103"/>
      <c r="AJ16" s="103"/>
    </row>
    <row r="17" spans="1:68" x14ac:dyDescent="0.2">
      <c r="A17" s="21" t="s">
        <v>154</v>
      </c>
      <c r="B17" s="79">
        <v>8.1999999999999993</v>
      </c>
      <c r="C17" s="83" t="s">
        <v>61</v>
      </c>
      <c r="D17" s="84" t="str">
        <f>IF(OR((B17&lt;4),(B17&gt;50)),"Wert prüfen","gültiger Wert")</f>
        <v>gültiger Wert</v>
      </c>
      <c r="E17" s="9"/>
      <c r="F17" s="124">
        <v>8.1999999999999993</v>
      </c>
      <c r="G17" s="88" t="s">
        <v>61</v>
      </c>
      <c r="H17" s="9"/>
      <c r="I17" s="9"/>
      <c r="J17" s="9"/>
      <c r="K17" s="131"/>
      <c r="L17" s="132"/>
      <c r="M17" s="5"/>
      <c r="N17" s="4"/>
      <c r="O17" s="5"/>
      <c r="P17" s="4"/>
      <c r="Q17" s="4"/>
      <c r="AI17" s="103"/>
      <c r="AJ17" s="103"/>
    </row>
    <row r="18" spans="1:68" x14ac:dyDescent="0.2">
      <c r="A18" s="21" t="s">
        <v>9</v>
      </c>
      <c r="B18" s="87">
        <f>10*ROUND(B6*10*B7/10,0)</f>
        <v>20270</v>
      </c>
      <c r="C18" s="84" t="s">
        <v>27</v>
      </c>
      <c r="D18" s="84"/>
      <c r="E18" s="9"/>
      <c r="F18" s="95">
        <v>20270</v>
      </c>
      <c r="G18" s="88" t="s">
        <v>27</v>
      </c>
      <c r="H18" s="9"/>
      <c r="I18" s="9"/>
      <c r="J18" s="9"/>
      <c r="K18" s="9"/>
      <c r="L18" s="14"/>
      <c r="M18" s="4"/>
      <c r="N18" s="5"/>
      <c r="O18" s="4"/>
      <c r="P18" s="5"/>
      <c r="Q18" s="4"/>
      <c r="R18" s="4"/>
      <c r="AI18" s="103">
        <f>AI6</f>
        <v>1</v>
      </c>
      <c r="AJ18" s="103"/>
    </row>
    <row r="19" spans="1:68" x14ac:dyDescent="0.2">
      <c r="A19" s="21" t="s">
        <v>26</v>
      </c>
      <c r="B19" s="82">
        <v>4000</v>
      </c>
      <c r="C19" s="84" t="s">
        <v>27</v>
      </c>
      <c r="D19" s="84" t="str">
        <f>IF(OR((B19&lt;1000),(B19&gt;10000)),"Wert prüfen","gültiger Wert")</f>
        <v>gültiger Wert</v>
      </c>
      <c r="E19" s="16"/>
      <c r="F19" s="95">
        <v>4000</v>
      </c>
      <c r="G19" s="88" t="s">
        <v>27</v>
      </c>
      <c r="H19" s="16"/>
      <c r="I19" s="16"/>
      <c r="J19" s="16"/>
      <c r="K19" s="16"/>
      <c r="L19" s="17"/>
      <c r="M19" s="4"/>
      <c r="N19" s="5"/>
      <c r="O19" s="4"/>
      <c r="P19" s="5"/>
      <c r="Q19" s="4"/>
      <c r="R19" s="4"/>
      <c r="AI19" s="103">
        <f>B19/'Haustechnikvarianten gesamt'!B17</f>
        <v>1</v>
      </c>
      <c r="AJ19" s="103"/>
    </row>
    <row r="20" spans="1:68" x14ac:dyDescent="0.2">
      <c r="A20" s="21" t="s">
        <v>180</v>
      </c>
      <c r="B20" s="139" t="s">
        <v>182</v>
      </c>
      <c r="C20" s="83" t="s">
        <v>181</v>
      </c>
      <c r="D20" s="84" t="str">
        <f>IF(OR(B20="n",B20="j"),"gültiger Wert","Fehleingabe")</f>
        <v>gültiger Wert</v>
      </c>
      <c r="E20" s="16"/>
      <c r="F20" s="140" t="s">
        <v>182</v>
      </c>
      <c r="G20" s="88"/>
      <c r="H20" s="16"/>
      <c r="I20" s="16"/>
      <c r="J20" s="16"/>
      <c r="K20" s="16"/>
      <c r="L20" s="17"/>
      <c r="M20" s="4"/>
      <c r="N20" s="5"/>
      <c r="O20" s="4"/>
      <c r="P20" s="5"/>
      <c r="Q20" s="4"/>
      <c r="R20" s="4"/>
      <c r="AI20" s="103" t="e">
        <f>B20/'Haustechnikvarianten gesamt'!B18</f>
        <v>#VALUE!</v>
      </c>
      <c r="AJ20" s="103"/>
    </row>
    <row r="21" spans="1:68" s="1" customFormat="1" x14ac:dyDescent="0.2">
      <c r="A21"/>
      <c r="B21" s="3"/>
      <c r="C21" s="3"/>
      <c r="D21" s="6"/>
      <c r="E21" s="6"/>
      <c r="F21" s="3"/>
      <c r="G21" s="3"/>
      <c r="H21" s="3"/>
      <c r="I21" s="3"/>
      <c r="J21" s="6"/>
      <c r="K21" s="6"/>
      <c r="L21" s="5"/>
      <c r="M21" s="4"/>
      <c r="N21" s="5"/>
      <c r="O21" s="4"/>
      <c r="P21" s="5"/>
      <c r="Q21" s="4"/>
      <c r="R21" s="4"/>
      <c r="S21"/>
      <c r="T21"/>
      <c r="U21"/>
      <c r="V21"/>
      <c r="W21"/>
      <c r="X21"/>
      <c r="Y21"/>
      <c r="Z21"/>
      <c r="AA21"/>
      <c r="AB21"/>
      <c r="AC21"/>
      <c r="AD21"/>
      <c r="AI21" s="137"/>
      <c r="AJ21" s="137"/>
    </row>
    <row r="22" spans="1:68" s="1" customFormat="1" x14ac:dyDescent="0.2">
      <c r="A22"/>
      <c r="B22" s="3"/>
      <c r="C22" s="3"/>
      <c r="D22" s="6"/>
      <c r="E22" s="6"/>
      <c r="F22" s="3"/>
      <c r="G22" s="3"/>
      <c r="H22" s="3"/>
      <c r="I22" s="3"/>
      <c r="J22" s="6"/>
      <c r="K22" s="6"/>
      <c r="L22" s="5"/>
      <c r="M22" s="4"/>
      <c r="N22" s="5"/>
      <c r="O22" s="4"/>
      <c r="P22" s="5"/>
      <c r="Q22" s="4"/>
      <c r="R22" s="4"/>
      <c r="S22"/>
      <c r="T22"/>
      <c r="U22"/>
      <c r="V22"/>
      <c r="W22"/>
      <c r="X22"/>
      <c r="Y22"/>
      <c r="Z22"/>
      <c r="AA22"/>
      <c r="AB22"/>
      <c r="AC22"/>
      <c r="AD22"/>
    </row>
    <row r="23" spans="1:68" s="1" customFormat="1" x14ac:dyDescent="0.2">
      <c r="A23" s="30" t="s">
        <v>0</v>
      </c>
      <c r="B23" s="31" t="s">
        <v>84</v>
      </c>
      <c r="C23" s="30" t="s">
        <v>85</v>
      </c>
      <c r="D23" s="32" t="s">
        <v>88</v>
      </c>
      <c r="E23" s="32" t="s">
        <v>90</v>
      </c>
      <c r="F23" s="32" t="s">
        <v>95</v>
      </c>
      <c r="G23" s="32" t="s">
        <v>32</v>
      </c>
      <c r="H23" s="32" t="s">
        <v>82</v>
      </c>
      <c r="I23" s="33" t="s">
        <v>83</v>
      </c>
      <c r="J23" s="33" t="s">
        <v>49</v>
      </c>
      <c r="K23" s="32" t="s">
        <v>33</v>
      </c>
      <c r="L23" s="32" t="s">
        <v>34</v>
      </c>
      <c r="M23" s="31" t="s">
        <v>35</v>
      </c>
      <c r="N23" s="31" t="s">
        <v>36</v>
      </c>
      <c r="O23" s="32" t="s">
        <v>102</v>
      </c>
      <c r="P23" s="34" t="s">
        <v>103</v>
      </c>
      <c r="Q23" s="34" t="s">
        <v>106</v>
      </c>
      <c r="R23" s="32" t="s">
        <v>37</v>
      </c>
      <c r="S23" s="32" t="s">
        <v>38</v>
      </c>
      <c r="T23" s="32" t="s">
        <v>47</v>
      </c>
      <c r="U23" s="32" t="s">
        <v>113</v>
      </c>
      <c r="V23" s="32" t="s">
        <v>114</v>
      </c>
      <c r="W23" s="30" t="s">
        <v>120</v>
      </c>
      <c r="X23" s="30" t="s">
        <v>110</v>
      </c>
      <c r="Y23" s="30" t="s">
        <v>112</v>
      </c>
      <c r="Z23" s="30" t="s">
        <v>117</v>
      </c>
      <c r="AA23" s="30" t="s">
        <v>156</v>
      </c>
      <c r="AB23" s="32" t="s">
        <v>39</v>
      </c>
      <c r="AC23" s="32" t="s">
        <v>40</v>
      </c>
      <c r="AD23" s="32" t="s">
        <v>41</v>
      </c>
      <c r="AE23" s="32" t="s">
        <v>42</v>
      </c>
      <c r="AF23" s="32" t="s">
        <v>43</v>
      </c>
      <c r="AG23" s="32" t="s">
        <v>44</v>
      </c>
      <c r="AH23" s="32" t="s">
        <v>45</v>
      </c>
    </row>
    <row r="24" spans="1:68" s="1" customFormat="1" x14ac:dyDescent="0.2">
      <c r="A24" s="25"/>
      <c r="B24" s="25" t="s">
        <v>118</v>
      </c>
      <c r="C24" s="25" t="s">
        <v>86</v>
      </c>
      <c r="D24" s="25" t="s">
        <v>89</v>
      </c>
      <c r="E24" s="25" t="s">
        <v>91</v>
      </c>
      <c r="F24" s="25" t="s">
        <v>91</v>
      </c>
      <c r="G24" s="25" t="s">
        <v>4</v>
      </c>
      <c r="H24" s="25" t="s">
        <v>81</v>
      </c>
      <c r="I24" s="25" t="s">
        <v>50</v>
      </c>
      <c r="J24" s="25" t="s">
        <v>50</v>
      </c>
      <c r="K24" s="25" t="s">
        <v>77</v>
      </c>
      <c r="L24" s="25" t="s">
        <v>77</v>
      </c>
      <c r="M24" s="25" t="s">
        <v>7</v>
      </c>
      <c r="N24" s="25" t="s">
        <v>7</v>
      </c>
      <c r="O24" s="25" t="s">
        <v>8</v>
      </c>
      <c r="P24" s="25" t="s">
        <v>104</v>
      </c>
      <c r="Q24" s="25" t="s">
        <v>52</v>
      </c>
      <c r="R24" s="25" t="s">
        <v>12</v>
      </c>
      <c r="S24" s="25" t="s">
        <v>12</v>
      </c>
      <c r="T24" s="25" t="s">
        <v>12</v>
      </c>
      <c r="U24" s="25" t="s">
        <v>14</v>
      </c>
      <c r="V24" s="25" t="s">
        <v>115</v>
      </c>
      <c r="W24" s="25" t="s">
        <v>7</v>
      </c>
      <c r="X24" s="25" t="s">
        <v>111</v>
      </c>
      <c r="Y24" s="25" t="s">
        <v>111</v>
      </c>
      <c r="Z24" s="25" t="s">
        <v>111</v>
      </c>
      <c r="AA24" s="25" t="s">
        <v>157</v>
      </c>
      <c r="AB24" s="25" t="s">
        <v>8</v>
      </c>
      <c r="AC24" s="25" t="s">
        <v>7</v>
      </c>
      <c r="AD24" s="25" t="s">
        <v>7</v>
      </c>
      <c r="AE24" s="25" t="s">
        <v>8</v>
      </c>
      <c r="AF24" s="25" t="s">
        <v>8</v>
      </c>
      <c r="AG24" s="25" t="s">
        <v>8</v>
      </c>
      <c r="AH24" s="25" t="s">
        <v>8</v>
      </c>
    </row>
    <row r="25" spans="1:68" s="1" customFormat="1" x14ac:dyDescent="0.2">
      <c r="A25" s="25"/>
      <c r="B25" s="25"/>
      <c r="C25" s="26"/>
      <c r="D25" s="25" t="s">
        <v>48</v>
      </c>
      <c r="E25" s="25" t="s">
        <v>48</v>
      </c>
      <c r="F25" s="25" t="s">
        <v>48</v>
      </c>
      <c r="G25" s="25"/>
      <c r="H25" s="25"/>
      <c r="I25" s="25" t="s">
        <v>121</v>
      </c>
      <c r="J25" s="25" t="s">
        <v>51</v>
      </c>
      <c r="K25" s="25" t="s">
        <v>10</v>
      </c>
      <c r="L25" s="25" t="s">
        <v>11</v>
      </c>
      <c r="M25" s="25" t="s">
        <v>134</v>
      </c>
      <c r="N25" s="25" t="s">
        <v>100</v>
      </c>
      <c r="O25" s="25" t="s">
        <v>100</v>
      </c>
      <c r="P25" s="25" t="s">
        <v>105</v>
      </c>
      <c r="Q25" s="25" t="s">
        <v>53</v>
      </c>
      <c r="R25" s="25" t="s">
        <v>119</v>
      </c>
      <c r="S25" s="25" t="s">
        <v>108</v>
      </c>
      <c r="T25" s="25" t="s">
        <v>108</v>
      </c>
      <c r="U25" s="25" t="s">
        <v>109</v>
      </c>
      <c r="V25" s="25" t="s">
        <v>109</v>
      </c>
      <c r="W25" s="25" t="s">
        <v>107</v>
      </c>
      <c r="X25" s="25" t="s">
        <v>16</v>
      </c>
      <c r="Y25" s="25" t="s">
        <v>16</v>
      </c>
      <c r="Z25" s="25" t="s">
        <v>16</v>
      </c>
      <c r="AA25" s="25" t="s">
        <v>16</v>
      </c>
      <c r="AB25" s="25" t="s">
        <v>17</v>
      </c>
      <c r="AC25" s="25" t="s">
        <v>18</v>
      </c>
      <c r="AD25" s="25" t="s">
        <v>18</v>
      </c>
      <c r="AE25" s="25" t="s">
        <v>18</v>
      </c>
      <c r="AF25" s="25" t="s">
        <v>18</v>
      </c>
      <c r="AG25" s="25" t="s">
        <v>17</v>
      </c>
      <c r="AH25" s="25" t="s">
        <v>17</v>
      </c>
    </row>
    <row r="26" spans="1:68" s="1" customFormat="1" x14ac:dyDescent="0.2">
      <c r="A26" s="25"/>
      <c r="B26" s="25"/>
      <c r="C26" s="25"/>
      <c r="D26" s="25" t="s">
        <v>93</v>
      </c>
      <c r="E26" s="25" t="s">
        <v>93</v>
      </c>
      <c r="F26" s="25" t="s">
        <v>96</v>
      </c>
      <c r="G26" s="25"/>
      <c r="H26" s="25"/>
      <c r="I26" s="25"/>
      <c r="J26" s="25"/>
      <c r="K26" s="25"/>
      <c r="L26" s="25"/>
      <c r="M26" s="25" t="s">
        <v>135</v>
      </c>
      <c r="N26" s="25"/>
      <c r="O26" s="25"/>
      <c r="P26" s="25" t="s">
        <v>158</v>
      </c>
      <c r="Q26" s="25" t="s">
        <v>158</v>
      </c>
      <c r="R26" s="25" t="s">
        <v>158</v>
      </c>
      <c r="S26" s="25" t="s">
        <v>158</v>
      </c>
      <c r="T26" s="25" t="s">
        <v>158</v>
      </c>
      <c r="U26" s="25" t="s">
        <v>53</v>
      </c>
      <c r="V26" s="25" t="s">
        <v>53</v>
      </c>
      <c r="W26" s="25"/>
      <c r="X26" s="25"/>
      <c r="Y26" s="25" t="s">
        <v>18</v>
      </c>
      <c r="Z26" s="25" t="s">
        <v>18</v>
      </c>
      <c r="AA26" s="25"/>
      <c r="AB26" s="25"/>
      <c r="AC26" s="25"/>
      <c r="AD26" s="25" t="s">
        <v>116</v>
      </c>
      <c r="AE26" s="25"/>
      <c r="AF26" s="25" t="s">
        <v>116</v>
      </c>
      <c r="AG26" s="25" t="s">
        <v>18</v>
      </c>
      <c r="AH26" s="25" t="s">
        <v>18</v>
      </c>
    </row>
    <row r="27" spans="1:68" s="1" customFormat="1" x14ac:dyDescent="0.2">
      <c r="A27" s="25"/>
      <c r="B27" s="25"/>
      <c r="C27" s="25"/>
      <c r="D27" s="25" t="s">
        <v>94</v>
      </c>
      <c r="E27" s="25" t="s">
        <v>94</v>
      </c>
      <c r="F27" s="25" t="s">
        <v>94</v>
      </c>
      <c r="G27" s="25"/>
      <c r="H27" s="25"/>
      <c r="I27" s="25"/>
      <c r="J27" s="25"/>
      <c r="K27" s="25"/>
      <c r="L27" s="25"/>
      <c r="M27" s="25"/>
      <c r="N27" s="25"/>
      <c r="O27" s="25"/>
      <c r="P27" s="25"/>
      <c r="Q27" s="25"/>
      <c r="R27" s="25"/>
      <c r="S27" s="25"/>
      <c r="T27" s="25" t="s">
        <v>155</v>
      </c>
      <c r="U27" s="25"/>
      <c r="V27" s="25"/>
      <c r="W27" s="25"/>
      <c r="X27" s="25"/>
      <c r="Y27" s="25"/>
      <c r="Z27" s="25" t="s">
        <v>155</v>
      </c>
      <c r="AA27" s="25"/>
      <c r="AB27" s="25"/>
      <c r="AC27" s="25"/>
      <c r="AD27" s="25" t="s">
        <v>122</v>
      </c>
      <c r="AE27" s="25"/>
      <c r="AF27" s="25" t="s">
        <v>122</v>
      </c>
      <c r="AG27" s="25"/>
      <c r="AH27" s="25" t="s">
        <v>13</v>
      </c>
    </row>
    <row r="28" spans="1:68" s="1" customFormat="1" x14ac:dyDescent="0.2">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row>
    <row r="29" spans="1:68" s="1" customFormat="1" x14ac:dyDescent="0.2">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row>
    <row r="30" spans="1:68" s="1" customFormat="1" x14ac:dyDescent="0.2">
      <c r="A30" s="27"/>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s="1" customFormat="1" x14ac:dyDescent="0.2">
      <c r="A31" s="104" t="s">
        <v>19</v>
      </c>
      <c r="B31" s="105"/>
      <c r="C31" s="105"/>
      <c r="D31" s="106">
        <v>14000</v>
      </c>
      <c r="E31" s="106">
        <v>12000</v>
      </c>
      <c r="F31" s="106">
        <v>12000</v>
      </c>
      <c r="G31" s="106">
        <v>21000</v>
      </c>
      <c r="H31" s="106">
        <v>28000</v>
      </c>
      <c r="I31" s="106">
        <v>35000</v>
      </c>
      <c r="J31" s="106">
        <v>42000</v>
      </c>
      <c r="K31" s="106">
        <v>12000</v>
      </c>
      <c r="L31" s="106">
        <v>12000</v>
      </c>
      <c r="M31" s="106">
        <v>25000</v>
      </c>
      <c r="N31" s="106">
        <v>25000</v>
      </c>
      <c r="O31" s="106">
        <v>41200</v>
      </c>
      <c r="P31" s="106">
        <v>12000</v>
      </c>
      <c r="Q31" s="106">
        <v>12000</v>
      </c>
      <c r="R31" s="106">
        <v>12000</v>
      </c>
      <c r="S31" s="106">
        <v>12000</v>
      </c>
      <c r="T31" s="106">
        <v>12000</v>
      </c>
      <c r="U31" s="106">
        <v>21000</v>
      </c>
      <c r="V31" s="106">
        <v>28000</v>
      </c>
      <c r="W31" s="106">
        <v>39000</v>
      </c>
      <c r="X31" s="106">
        <v>30000</v>
      </c>
      <c r="Y31" s="106">
        <v>30000</v>
      </c>
      <c r="Z31" s="106">
        <v>30000</v>
      </c>
      <c r="AA31" s="106">
        <v>40000</v>
      </c>
      <c r="AB31" s="106">
        <v>42300</v>
      </c>
      <c r="AC31" s="106">
        <v>25000</v>
      </c>
      <c r="AD31" s="106">
        <v>25000</v>
      </c>
      <c r="AE31" s="106">
        <v>41200</v>
      </c>
      <c r="AF31" s="106">
        <v>41200</v>
      </c>
      <c r="AG31" s="106">
        <v>42300</v>
      </c>
      <c r="AH31" s="106">
        <v>42300</v>
      </c>
    </row>
    <row r="32" spans="1:68" s="1" customFormat="1" x14ac:dyDescent="0.2">
      <c r="A32" s="45" t="s">
        <v>99</v>
      </c>
      <c r="B32" s="48"/>
      <c r="C32" s="48"/>
      <c r="D32" s="107">
        <v>-9330</v>
      </c>
      <c r="E32" s="107">
        <v>-9330</v>
      </c>
      <c r="F32" s="107">
        <v>-9330</v>
      </c>
      <c r="G32" s="107">
        <v>-9330</v>
      </c>
      <c r="H32" s="107">
        <v>-9330</v>
      </c>
      <c r="I32" s="107">
        <v>-9330</v>
      </c>
      <c r="J32" s="107">
        <v>-9330</v>
      </c>
      <c r="K32" s="107">
        <v>-9330</v>
      </c>
      <c r="L32" s="107">
        <v>-9330</v>
      </c>
      <c r="M32" s="107">
        <v>-9330</v>
      </c>
      <c r="N32" s="107">
        <v>-9330</v>
      </c>
      <c r="O32" s="107">
        <v>-9330</v>
      </c>
      <c r="P32" s="107">
        <v>-9330</v>
      </c>
      <c r="Q32" s="107">
        <v>-9330</v>
      </c>
      <c r="R32" s="107">
        <v>-9330</v>
      </c>
      <c r="S32" s="107">
        <v>-9330</v>
      </c>
      <c r="T32" s="107">
        <v>-9330</v>
      </c>
      <c r="U32" s="107">
        <v>-9330</v>
      </c>
      <c r="V32" s="107">
        <v>-9330</v>
      </c>
      <c r="W32" s="107">
        <v>-9330</v>
      </c>
      <c r="X32" s="107">
        <v>-9330</v>
      </c>
      <c r="Y32" s="107">
        <v>-9330</v>
      </c>
      <c r="Z32" s="107">
        <v>-9330</v>
      </c>
      <c r="AA32" s="107">
        <v>-9330</v>
      </c>
      <c r="AB32" s="107">
        <v>-9330</v>
      </c>
      <c r="AC32" s="107">
        <v>-9330</v>
      </c>
      <c r="AD32" s="107">
        <v>-9330</v>
      </c>
      <c r="AE32" s="107">
        <v>-9330</v>
      </c>
      <c r="AF32" s="107">
        <v>-9330</v>
      </c>
      <c r="AG32" s="107">
        <v>-9330</v>
      </c>
      <c r="AH32" s="107">
        <v>-9330</v>
      </c>
    </row>
    <row r="33" spans="1:34" s="1" customFormat="1" x14ac:dyDescent="0.2">
      <c r="A33" s="45" t="s">
        <v>97</v>
      </c>
      <c r="B33" s="48"/>
      <c r="C33" s="48"/>
      <c r="D33" s="48"/>
      <c r="E33" s="48"/>
      <c r="F33" s="48"/>
      <c r="G33" s="107">
        <v>1000</v>
      </c>
      <c r="H33" s="107">
        <v>2000</v>
      </c>
      <c r="I33" s="48"/>
      <c r="J33" s="48"/>
      <c r="K33" s="48"/>
      <c r="L33" s="48"/>
      <c r="M33" s="48"/>
      <c r="N33" s="48"/>
      <c r="O33" s="48"/>
      <c r="P33" s="48"/>
      <c r="Q33" s="48"/>
      <c r="R33" s="48"/>
      <c r="S33" s="48"/>
      <c r="T33" s="48"/>
      <c r="U33" s="107">
        <v>1000</v>
      </c>
      <c r="V33" s="107">
        <v>2000</v>
      </c>
      <c r="W33" s="48"/>
      <c r="X33" s="48"/>
      <c r="Y33" s="48"/>
      <c r="Z33" s="48"/>
      <c r="AA33" s="48"/>
      <c r="AB33" s="48"/>
      <c r="AC33" s="49"/>
      <c r="AD33" s="49"/>
      <c r="AE33" s="48"/>
      <c r="AF33" s="49"/>
      <c r="AG33" s="48"/>
      <c r="AH33" s="48"/>
    </row>
    <row r="34" spans="1:34" s="1" customFormat="1" x14ac:dyDescent="0.2">
      <c r="A34" s="45" t="s">
        <v>98</v>
      </c>
      <c r="B34" s="48"/>
      <c r="C34" s="48"/>
      <c r="D34" s="107">
        <v>1000</v>
      </c>
      <c r="E34" s="107">
        <v>1000</v>
      </c>
      <c r="F34" s="107">
        <v>1000</v>
      </c>
      <c r="G34" s="107">
        <v>3000</v>
      </c>
      <c r="H34" s="107">
        <v>2000</v>
      </c>
      <c r="I34" s="107">
        <v>2000</v>
      </c>
      <c r="J34" s="107">
        <v>2000</v>
      </c>
      <c r="K34" s="107">
        <v>1000</v>
      </c>
      <c r="L34" s="107">
        <v>1000</v>
      </c>
      <c r="M34" s="107">
        <v>1000</v>
      </c>
      <c r="N34" s="107">
        <v>2000</v>
      </c>
      <c r="O34" s="107">
        <v>2000</v>
      </c>
      <c r="P34" s="48"/>
      <c r="Q34" s="48"/>
      <c r="R34" s="107">
        <v>3000</v>
      </c>
      <c r="S34" s="107">
        <v>4000</v>
      </c>
      <c r="T34" s="107">
        <v>4000</v>
      </c>
      <c r="U34" s="48"/>
      <c r="V34" s="48"/>
      <c r="W34" s="107">
        <v>2000</v>
      </c>
      <c r="X34" s="107">
        <v>2000</v>
      </c>
      <c r="Y34" s="107">
        <v>2000</v>
      </c>
      <c r="Z34" s="107">
        <v>2000</v>
      </c>
      <c r="AA34" s="106">
        <v>2000</v>
      </c>
      <c r="AB34" s="48"/>
      <c r="AC34" s="107">
        <v>2000</v>
      </c>
      <c r="AD34" s="107">
        <v>2000</v>
      </c>
      <c r="AE34" s="107">
        <v>2000</v>
      </c>
      <c r="AF34" s="107">
        <v>2000</v>
      </c>
      <c r="AG34" s="48"/>
      <c r="AH34" s="48"/>
    </row>
    <row r="35" spans="1:34" s="1" customFormat="1" x14ac:dyDescent="0.2">
      <c r="A35" s="45" t="s">
        <v>15</v>
      </c>
      <c r="B35" s="48"/>
      <c r="C35" s="48"/>
      <c r="D35" s="48"/>
      <c r="E35" s="48"/>
      <c r="F35" s="48"/>
      <c r="G35" s="48"/>
      <c r="H35" s="48"/>
      <c r="I35" s="48"/>
      <c r="J35" s="48"/>
      <c r="K35" s="48"/>
      <c r="L35" s="48"/>
      <c r="M35" s="48"/>
      <c r="N35" s="48"/>
      <c r="O35" s="48"/>
      <c r="P35" s="107">
        <v>9000</v>
      </c>
      <c r="Q35" s="107">
        <v>13000</v>
      </c>
      <c r="R35" s="48"/>
      <c r="S35" s="48"/>
      <c r="T35" s="48"/>
      <c r="U35" s="107">
        <v>13000</v>
      </c>
      <c r="V35" s="107">
        <v>13000</v>
      </c>
      <c r="W35" s="48"/>
      <c r="X35" s="48"/>
      <c r="Y35" s="48"/>
      <c r="Z35" s="48"/>
      <c r="AA35" s="48"/>
      <c r="AB35" s="107">
        <v>13000</v>
      </c>
      <c r="AC35" s="49"/>
      <c r="AD35" s="49"/>
      <c r="AE35" s="48"/>
      <c r="AF35" s="49"/>
      <c r="AG35" s="107">
        <v>13000</v>
      </c>
      <c r="AH35" s="107">
        <v>13000</v>
      </c>
    </row>
    <row r="36" spans="1:34" s="1" customFormat="1" x14ac:dyDescent="0.2">
      <c r="A36" s="45" t="s">
        <v>23</v>
      </c>
      <c r="B36" s="48"/>
      <c r="C36" s="48"/>
      <c r="D36" s="48"/>
      <c r="E36" s="48"/>
      <c r="F36" s="48"/>
      <c r="G36" s="48"/>
      <c r="H36" s="48"/>
      <c r="I36" s="48"/>
      <c r="J36" s="48"/>
      <c r="K36" s="48"/>
      <c r="L36" s="48"/>
      <c r="M36" s="48"/>
      <c r="N36" s="48"/>
      <c r="O36" s="48"/>
      <c r="P36" s="48"/>
      <c r="Q36" s="48"/>
      <c r="R36" s="107">
        <v>10000</v>
      </c>
      <c r="S36" s="107">
        <v>10000</v>
      </c>
      <c r="T36" s="107">
        <v>10000</v>
      </c>
      <c r="U36" s="48"/>
      <c r="V36" s="48"/>
      <c r="W36" s="48"/>
      <c r="X36" s="48"/>
      <c r="Y36" s="107">
        <v>10000</v>
      </c>
      <c r="Z36" s="107">
        <v>10000</v>
      </c>
      <c r="AA36" s="48"/>
      <c r="AB36" s="48"/>
      <c r="AC36" s="107">
        <v>10000</v>
      </c>
      <c r="AD36" s="107">
        <v>10000</v>
      </c>
      <c r="AE36" s="107">
        <v>10000</v>
      </c>
      <c r="AF36" s="107">
        <v>10000</v>
      </c>
      <c r="AG36" s="107">
        <v>10000</v>
      </c>
      <c r="AH36" s="107">
        <v>10000</v>
      </c>
    </row>
    <row r="37" spans="1:34" s="1" customFormat="1" x14ac:dyDescent="0.2">
      <c r="A37" s="45" t="s">
        <v>20</v>
      </c>
      <c r="B37" s="48"/>
      <c r="C37" s="48"/>
      <c r="D37" s="107">
        <v>1000</v>
      </c>
      <c r="E37" s="107">
        <v>1000</v>
      </c>
      <c r="F37" s="107">
        <v>1000</v>
      </c>
      <c r="G37" s="48"/>
      <c r="H37" s="48"/>
      <c r="I37" s="107">
        <v>1000</v>
      </c>
      <c r="J37" s="107">
        <v>1000</v>
      </c>
      <c r="K37" s="48"/>
      <c r="L37" s="48"/>
      <c r="M37" s="48"/>
      <c r="N37" s="48"/>
      <c r="O37" s="48"/>
      <c r="P37" s="107">
        <v>1000</v>
      </c>
      <c r="Q37" s="107">
        <v>1000</v>
      </c>
      <c r="R37" s="107">
        <v>1000</v>
      </c>
      <c r="S37" s="107">
        <v>1000</v>
      </c>
      <c r="T37" s="107">
        <v>1000</v>
      </c>
      <c r="U37" s="48"/>
      <c r="V37" s="48"/>
      <c r="W37" s="107">
        <v>1000</v>
      </c>
      <c r="X37" s="107">
        <v>1000</v>
      </c>
      <c r="Y37" s="107">
        <v>1000</v>
      </c>
      <c r="Z37" s="107">
        <v>1000</v>
      </c>
      <c r="AA37" s="106">
        <v>1000</v>
      </c>
      <c r="AB37" s="48"/>
      <c r="AC37" s="49"/>
      <c r="AD37" s="49"/>
      <c r="AE37" s="48"/>
      <c r="AF37" s="49"/>
      <c r="AG37" s="48"/>
      <c r="AH37" s="48"/>
    </row>
    <row r="38" spans="1:34" s="1" customFormat="1" x14ac:dyDescent="0.2">
      <c r="A38" s="45" t="s">
        <v>21</v>
      </c>
      <c r="B38" s="48"/>
      <c r="C38" s="48"/>
      <c r="D38" s="48"/>
      <c r="E38" s="107">
        <v>2000</v>
      </c>
      <c r="F38" s="107">
        <v>2000</v>
      </c>
      <c r="G38" s="48"/>
      <c r="H38" s="48"/>
      <c r="I38" s="107">
        <v>2000</v>
      </c>
      <c r="J38" s="107">
        <v>2000</v>
      </c>
      <c r="K38" s="48"/>
      <c r="L38" s="48"/>
      <c r="M38" s="48"/>
      <c r="N38" s="48"/>
      <c r="O38" s="48"/>
      <c r="P38" s="107">
        <v>2000</v>
      </c>
      <c r="Q38" s="107">
        <v>2000</v>
      </c>
      <c r="R38" s="107">
        <v>2000</v>
      </c>
      <c r="S38" s="107">
        <v>2000</v>
      </c>
      <c r="T38" s="107">
        <v>2000</v>
      </c>
      <c r="U38" s="48"/>
      <c r="V38" s="48"/>
      <c r="W38" s="48"/>
      <c r="X38" s="107">
        <v>2000</v>
      </c>
      <c r="Y38" s="107">
        <v>2000</v>
      </c>
      <c r="Z38" s="107">
        <v>2000</v>
      </c>
      <c r="AA38" s="48"/>
      <c r="AB38" s="48"/>
      <c r="AC38" s="49"/>
      <c r="AD38" s="49"/>
      <c r="AE38" s="48"/>
      <c r="AF38" s="49"/>
      <c r="AG38" s="48"/>
      <c r="AH38" s="48"/>
    </row>
    <row r="39" spans="1:34" s="1" customFormat="1" x14ac:dyDescent="0.2">
      <c r="A39" s="45" t="s">
        <v>22</v>
      </c>
      <c r="B39" s="48"/>
      <c r="C39" s="107">
        <v>1500</v>
      </c>
      <c r="D39" s="107">
        <v>1500</v>
      </c>
      <c r="E39" s="107">
        <v>1500</v>
      </c>
      <c r="F39" s="107">
        <v>3000</v>
      </c>
      <c r="G39" s="107">
        <v>1500</v>
      </c>
      <c r="H39" s="107">
        <v>1500</v>
      </c>
      <c r="I39" s="107">
        <v>1500</v>
      </c>
      <c r="J39" s="107">
        <v>1500</v>
      </c>
      <c r="K39" s="107">
        <v>1500</v>
      </c>
      <c r="L39" s="107">
        <v>1500</v>
      </c>
      <c r="M39" s="107">
        <v>12000</v>
      </c>
      <c r="N39" s="107">
        <v>1500</v>
      </c>
      <c r="O39" s="107">
        <v>1500</v>
      </c>
      <c r="P39" s="107">
        <v>1500</v>
      </c>
      <c r="Q39" s="107">
        <v>1500</v>
      </c>
      <c r="R39" s="107">
        <v>1500</v>
      </c>
      <c r="S39" s="107">
        <v>1500</v>
      </c>
      <c r="T39" s="107">
        <v>1500</v>
      </c>
      <c r="U39" s="107">
        <v>1500</v>
      </c>
      <c r="V39" s="107">
        <v>1500</v>
      </c>
      <c r="W39" s="107">
        <v>1500</v>
      </c>
      <c r="X39" s="107">
        <v>1500</v>
      </c>
      <c r="Y39" s="107">
        <v>1500</v>
      </c>
      <c r="Z39" s="107">
        <v>1500</v>
      </c>
      <c r="AA39" s="106">
        <v>1500</v>
      </c>
      <c r="AB39" s="107">
        <v>1500</v>
      </c>
      <c r="AC39" s="107">
        <v>1500</v>
      </c>
      <c r="AD39" s="107">
        <v>1500</v>
      </c>
      <c r="AE39" s="107">
        <v>1500</v>
      </c>
      <c r="AF39" s="107">
        <v>1500</v>
      </c>
      <c r="AG39" s="107">
        <v>1500</v>
      </c>
      <c r="AH39" s="107">
        <v>1500</v>
      </c>
    </row>
    <row r="40" spans="1:34" s="1" customFormat="1" x14ac:dyDescent="0.2">
      <c r="A40" s="108" t="s">
        <v>24</v>
      </c>
      <c r="B40" s="109"/>
      <c r="C40" s="109"/>
      <c r="D40" s="109"/>
      <c r="E40" s="109"/>
      <c r="F40" s="109"/>
      <c r="G40" s="109"/>
      <c r="H40" s="109"/>
      <c r="I40" s="109"/>
      <c r="J40" s="109"/>
      <c r="K40" s="109"/>
      <c r="L40" s="109"/>
      <c r="M40" s="109"/>
      <c r="N40" s="109"/>
      <c r="O40" s="109"/>
      <c r="P40" s="109"/>
      <c r="Q40" s="109"/>
      <c r="R40" s="109"/>
      <c r="S40" s="109"/>
      <c r="T40" s="110">
        <v>5000</v>
      </c>
      <c r="U40" s="109"/>
      <c r="V40" s="109"/>
      <c r="W40" s="109"/>
      <c r="X40" s="109"/>
      <c r="Y40" s="109"/>
      <c r="Z40" s="110">
        <v>5000</v>
      </c>
      <c r="AA40" s="48"/>
      <c r="AB40" s="108"/>
      <c r="AC40" s="111"/>
      <c r="AD40" s="110">
        <v>5000</v>
      </c>
      <c r="AE40" s="109"/>
      <c r="AF40" s="110">
        <v>5000</v>
      </c>
      <c r="AG40" s="108"/>
      <c r="AH40" s="110">
        <v>5000</v>
      </c>
    </row>
    <row r="41" spans="1:34" x14ac:dyDescent="0.2">
      <c r="A41" s="36" t="s">
        <v>1</v>
      </c>
      <c r="B41" s="37">
        <f t="shared" ref="B41:AH41" si="0">SUM(B31:B40)</f>
        <v>0</v>
      </c>
      <c r="C41" s="37">
        <f t="shared" si="0"/>
        <v>1500</v>
      </c>
      <c r="D41" s="37">
        <f t="shared" si="0"/>
        <v>8170</v>
      </c>
      <c r="E41" s="37">
        <f t="shared" si="0"/>
        <v>8170</v>
      </c>
      <c r="F41" s="37">
        <f t="shared" si="0"/>
        <v>9670</v>
      </c>
      <c r="G41" s="37">
        <f t="shared" si="0"/>
        <v>17170</v>
      </c>
      <c r="H41" s="37">
        <f t="shared" si="0"/>
        <v>24170</v>
      </c>
      <c r="I41" s="37">
        <f t="shared" si="0"/>
        <v>32170</v>
      </c>
      <c r="J41" s="37">
        <f t="shared" si="0"/>
        <v>39170</v>
      </c>
      <c r="K41" s="37">
        <f t="shared" si="0"/>
        <v>5170</v>
      </c>
      <c r="L41" s="37">
        <f t="shared" si="0"/>
        <v>5170</v>
      </c>
      <c r="M41" s="37">
        <f t="shared" si="0"/>
        <v>28670</v>
      </c>
      <c r="N41" s="37">
        <f t="shared" si="0"/>
        <v>19170</v>
      </c>
      <c r="O41" s="37">
        <f t="shared" si="0"/>
        <v>35370</v>
      </c>
      <c r="P41" s="37">
        <f t="shared" si="0"/>
        <v>16170</v>
      </c>
      <c r="Q41" s="37">
        <f t="shared" si="0"/>
        <v>20170</v>
      </c>
      <c r="R41" s="37">
        <f t="shared" si="0"/>
        <v>20170</v>
      </c>
      <c r="S41" s="37">
        <f t="shared" si="0"/>
        <v>21170</v>
      </c>
      <c r="T41" s="37">
        <f t="shared" si="0"/>
        <v>26170</v>
      </c>
      <c r="U41" s="37">
        <f t="shared" si="0"/>
        <v>27170</v>
      </c>
      <c r="V41" s="37">
        <f t="shared" si="0"/>
        <v>35170</v>
      </c>
      <c r="W41" s="37">
        <f t="shared" si="0"/>
        <v>34170</v>
      </c>
      <c r="X41" s="37">
        <f t="shared" si="0"/>
        <v>27170</v>
      </c>
      <c r="Y41" s="37">
        <f t="shared" si="0"/>
        <v>37170</v>
      </c>
      <c r="Z41" s="37">
        <f t="shared" si="0"/>
        <v>42170</v>
      </c>
      <c r="AA41" s="37">
        <f t="shared" ref="AA41" si="1">SUM(AA31:AA40)</f>
        <v>35170</v>
      </c>
      <c r="AB41" s="37">
        <f t="shared" si="0"/>
        <v>47470</v>
      </c>
      <c r="AC41" s="37">
        <f t="shared" si="0"/>
        <v>29170</v>
      </c>
      <c r="AD41" s="37">
        <f t="shared" si="0"/>
        <v>34170</v>
      </c>
      <c r="AE41" s="37">
        <f t="shared" si="0"/>
        <v>45370</v>
      </c>
      <c r="AF41" s="37">
        <f t="shared" si="0"/>
        <v>50370</v>
      </c>
      <c r="AG41" s="37">
        <f t="shared" si="0"/>
        <v>57470</v>
      </c>
      <c r="AH41" s="37">
        <f t="shared" si="0"/>
        <v>62470</v>
      </c>
    </row>
    <row r="42" spans="1:34" x14ac:dyDescent="0.2">
      <c r="A42" s="30" t="s">
        <v>174</v>
      </c>
      <c r="B42" s="125"/>
      <c r="C42" s="98">
        <v>30000</v>
      </c>
      <c r="D42" s="98">
        <v>30000</v>
      </c>
      <c r="E42" s="98">
        <v>30000</v>
      </c>
      <c r="F42" s="98">
        <v>30000</v>
      </c>
      <c r="G42" s="98">
        <v>30000</v>
      </c>
      <c r="H42" s="98">
        <v>30000</v>
      </c>
      <c r="I42" s="98">
        <v>30000</v>
      </c>
      <c r="J42" s="98">
        <v>30000</v>
      </c>
      <c r="K42" s="98">
        <v>30000</v>
      </c>
      <c r="L42" s="98">
        <v>30000</v>
      </c>
      <c r="M42" s="98">
        <v>30000</v>
      </c>
      <c r="N42" s="98">
        <v>30000</v>
      </c>
      <c r="O42" s="98">
        <v>30000</v>
      </c>
      <c r="P42" s="98">
        <v>30000</v>
      </c>
      <c r="Q42" s="98">
        <v>30000</v>
      </c>
      <c r="R42" s="98">
        <v>30000</v>
      </c>
      <c r="S42" s="98">
        <v>30000</v>
      </c>
      <c r="T42" s="98">
        <v>30000</v>
      </c>
      <c r="U42" s="98">
        <v>30000</v>
      </c>
      <c r="V42" s="98">
        <v>30000</v>
      </c>
      <c r="W42" s="98">
        <v>30000</v>
      </c>
      <c r="X42" s="98">
        <v>30000</v>
      </c>
      <c r="Y42" s="98">
        <v>30000</v>
      </c>
      <c r="Z42" s="98">
        <v>30000</v>
      </c>
      <c r="AA42" s="98">
        <v>30000</v>
      </c>
      <c r="AB42" s="98">
        <v>30000</v>
      </c>
      <c r="AC42" s="98">
        <v>30000</v>
      </c>
      <c r="AD42" s="98">
        <v>30000</v>
      </c>
      <c r="AE42" s="98">
        <v>30000</v>
      </c>
      <c r="AF42" s="98">
        <v>30000</v>
      </c>
      <c r="AG42" s="98">
        <v>30000</v>
      </c>
      <c r="AH42" s="98">
        <v>30000</v>
      </c>
    </row>
    <row r="43" spans="1:34" x14ac:dyDescent="0.2">
      <c r="A43" s="30" t="s">
        <v>175</v>
      </c>
      <c r="B43" s="125"/>
      <c r="C43" s="138">
        <v>0.15</v>
      </c>
      <c r="D43" s="138">
        <v>0.15</v>
      </c>
      <c r="E43" s="138">
        <v>0.15</v>
      </c>
      <c r="F43" s="138">
        <v>0.15</v>
      </c>
      <c r="G43" s="138">
        <v>0.6</v>
      </c>
      <c r="H43" s="138">
        <v>0.6</v>
      </c>
      <c r="I43" s="138">
        <v>0</v>
      </c>
      <c r="J43" s="138">
        <v>0.6</v>
      </c>
      <c r="K43" s="138">
        <v>0.7</v>
      </c>
      <c r="L43" s="138">
        <v>0.7</v>
      </c>
      <c r="M43" s="138">
        <v>0.7</v>
      </c>
      <c r="N43" s="138">
        <v>0.7</v>
      </c>
      <c r="O43" s="138">
        <v>0.7</v>
      </c>
      <c r="P43" s="138">
        <v>0.6</v>
      </c>
      <c r="Q43" s="138">
        <v>0.6</v>
      </c>
      <c r="R43" s="138">
        <v>0.15</v>
      </c>
      <c r="S43" s="138">
        <v>0.15</v>
      </c>
      <c r="T43" s="138">
        <v>0.15</v>
      </c>
      <c r="U43" s="138">
        <v>0.7</v>
      </c>
      <c r="V43" s="138">
        <v>0.7</v>
      </c>
      <c r="W43" s="138">
        <v>0.6</v>
      </c>
      <c r="X43" s="138">
        <v>0.6</v>
      </c>
      <c r="Y43" s="138">
        <v>0.6</v>
      </c>
      <c r="Z43" s="138">
        <v>0.6</v>
      </c>
      <c r="AA43" s="138">
        <v>0.7</v>
      </c>
      <c r="AB43" s="138">
        <v>0.7</v>
      </c>
      <c r="AC43" s="138">
        <v>0.7</v>
      </c>
      <c r="AD43" s="138">
        <v>0.7</v>
      </c>
      <c r="AE43" s="138">
        <v>0.7</v>
      </c>
      <c r="AF43" s="138">
        <v>0.7</v>
      </c>
      <c r="AG43" s="138">
        <v>0.7</v>
      </c>
      <c r="AH43" s="138">
        <v>0.7</v>
      </c>
    </row>
    <row r="44" spans="1:34" x14ac:dyDescent="0.2">
      <c r="A44" s="30" t="s">
        <v>176</v>
      </c>
      <c r="B44" s="125"/>
      <c r="C44" s="125">
        <f>IF(C39&gt;C42,C42,C39)</f>
        <v>1500</v>
      </c>
      <c r="D44" s="125">
        <f t="shared" ref="D44:E44" si="2">IF(D39&gt;D42,D42,D39)</f>
        <v>1500</v>
      </c>
      <c r="E44" s="125">
        <f t="shared" si="2"/>
        <v>1500</v>
      </c>
      <c r="F44" s="125">
        <f>IF(F39&gt;F42,F42,F39)-1500</f>
        <v>1500</v>
      </c>
      <c r="G44" s="125">
        <f>IF(G41-G32&gt;G42,G42,G41-G32)</f>
        <v>26500</v>
      </c>
      <c r="H44" s="125">
        <f>IF(H41-H32&gt;H42,H42,H41-H32)</f>
        <v>30000</v>
      </c>
      <c r="I44" s="125">
        <v>0</v>
      </c>
      <c r="J44" s="125">
        <f>IF(J41-J32&gt;J42,J42,J41-J32)</f>
        <v>30000</v>
      </c>
      <c r="K44" s="125">
        <f t="shared" ref="K44:L44" si="3">IF(K41-K32&gt;K42,K42,K41-K32)</f>
        <v>14500</v>
      </c>
      <c r="L44" s="125">
        <f t="shared" si="3"/>
        <v>14500</v>
      </c>
      <c r="M44" s="125">
        <f t="shared" ref="M44:O44" si="4">IF(M41-M32&gt;M42,M42,M41-M32)</f>
        <v>30000</v>
      </c>
      <c r="N44" s="125">
        <f t="shared" si="4"/>
        <v>28500</v>
      </c>
      <c r="O44" s="125">
        <f t="shared" si="4"/>
        <v>30000</v>
      </c>
      <c r="P44" s="125">
        <f>IF(P35+P39&gt;P42,P42,P35+P39)</f>
        <v>10500</v>
      </c>
      <c r="Q44" s="125">
        <f>IF(Q35+Q39&gt;Q42,Q42,Q35+Q39)</f>
        <v>14500</v>
      </c>
      <c r="R44" s="125">
        <f>R39</f>
        <v>1500</v>
      </c>
      <c r="S44" s="125">
        <f t="shared" ref="S44:T44" si="5">S39</f>
        <v>1500</v>
      </c>
      <c r="T44" s="125">
        <f t="shared" si="5"/>
        <v>1500</v>
      </c>
      <c r="U44" s="125">
        <f t="shared" ref="U44:V44" si="6">IF(U41-U32&gt;U42,U42,U41-U32)</f>
        <v>30000</v>
      </c>
      <c r="V44" s="125">
        <f t="shared" si="6"/>
        <v>30000</v>
      </c>
      <c r="W44" s="125">
        <f>IF(W41-W32-$D$31-W37&gt;W42,W42,W41-W32-$D$31-W37)</f>
        <v>28500</v>
      </c>
      <c r="X44" s="125">
        <f>IF(X41-X32-$E$31-X38-X37&gt;X42,X42,X41-X32-$E$31-X38-X37)</f>
        <v>21500</v>
      </c>
      <c r="Y44" s="125">
        <f>IF(Y41-Y32-$E$31-Y38-Y36-Y37&gt;Y42,Y42,Y41-Y32-$E$31-Y38-Y36-Y37)</f>
        <v>21500</v>
      </c>
      <c r="Z44" s="125">
        <f>IF(Z41-Z32-$E$31-Z38-Z36-Z40-Z37&gt;Z42,Z42,Z41-Z32-$E$31-Z38-Z36-Z40-Z37)</f>
        <v>21500</v>
      </c>
      <c r="AA44" s="125">
        <f>IF(AA41-AA32-AA38-AA36-AA40&gt;AA42,AA42,AA41-AA32-AA38-AA36-AA40)</f>
        <v>30000</v>
      </c>
      <c r="AB44" s="125">
        <f t="shared" ref="AB44:AH44" si="7">IF(AB41-AB32-AB38-AB36-AB40&gt;AB42,AB42,AB41-AB32-AB38-AB36-AB40)</f>
        <v>30000</v>
      </c>
      <c r="AC44" s="125">
        <f t="shared" si="7"/>
        <v>28500</v>
      </c>
      <c r="AD44" s="125">
        <f t="shared" si="7"/>
        <v>28500</v>
      </c>
      <c r="AE44" s="125">
        <f t="shared" si="7"/>
        <v>30000</v>
      </c>
      <c r="AF44" s="125">
        <f t="shared" si="7"/>
        <v>30000</v>
      </c>
      <c r="AG44" s="125">
        <f t="shared" si="7"/>
        <v>30000</v>
      </c>
      <c r="AH44" s="125">
        <f t="shared" si="7"/>
        <v>30000</v>
      </c>
    </row>
    <row r="45" spans="1:34" x14ac:dyDescent="0.2">
      <c r="A45" s="30" t="s">
        <v>177</v>
      </c>
      <c r="B45" s="125"/>
      <c r="C45" s="125">
        <f>C44*C43</f>
        <v>225</v>
      </c>
      <c r="D45" s="125">
        <f t="shared" ref="D45:H45" si="8">D44*D43</f>
        <v>225</v>
      </c>
      <c r="E45" s="125">
        <f t="shared" si="8"/>
        <v>225</v>
      </c>
      <c r="F45" s="125">
        <f t="shared" si="8"/>
        <v>225</v>
      </c>
      <c r="G45" s="125">
        <f t="shared" si="8"/>
        <v>15900</v>
      </c>
      <c r="H45" s="125">
        <f t="shared" si="8"/>
        <v>18000</v>
      </c>
      <c r="I45" s="125">
        <f t="shared" ref="I45" si="9">I44*I43</f>
        <v>0</v>
      </c>
      <c r="J45" s="125">
        <f t="shared" ref="J45" si="10">J44*J43</f>
        <v>18000</v>
      </c>
      <c r="K45" s="125">
        <f t="shared" ref="K45" si="11">K44*K43</f>
        <v>10150</v>
      </c>
      <c r="L45" s="125">
        <f t="shared" ref="L45" si="12">L44*L43</f>
        <v>10150</v>
      </c>
      <c r="M45" s="125">
        <f t="shared" ref="M45" si="13">M44*M43</f>
        <v>21000</v>
      </c>
      <c r="N45" s="125">
        <f t="shared" ref="N45" si="14">N44*N43</f>
        <v>19950</v>
      </c>
      <c r="O45" s="125">
        <f t="shared" ref="O45:Q45" si="15">O44*O43</f>
        <v>21000</v>
      </c>
      <c r="P45" s="125">
        <f t="shared" si="15"/>
        <v>6300</v>
      </c>
      <c r="Q45" s="125">
        <f t="shared" si="15"/>
        <v>8700</v>
      </c>
      <c r="R45" s="125">
        <f t="shared" ref="R45" si="16">R44*R43</f>
        <v>225</v>
      </c>
      <c r="S45" s="125">
        <f t="shared" ref="S45" si="17">S44*S43</f>
        <v>225</v>
      </c>
      <c r="T45" s="125">
        <f t="shared" ref="T45" si="18">T44*T43</f>
        <v>225</v>
      </c>
      <c r="U45" s="125">
        <f t="shared" ref="U45" si="19">U44*U43</f>
        <v>21000</v>
      </c>
      <c r="V45" s="125">
        <f t="shared" ref="V45" si="20">V44*V43</f>
        <v>21000</v>
      </c>
      <c r="W45" s="125">
        <f t="shared" ref="W45" si="21">W44*W43</f>
        <v>17100</v>
      </c>
      <c r="X45" s="125">
        <f t="shared" ref="X45" si="22">X44*X43</f>
        <v>12900</v>
      </c>
      <c r="Y45" s="125">
        <f t="shared" ref="Y45:Z45" si="23">Y44*Y43</f>
        <v>12900</v>
      </c>
      <c r="Z45" s="125">
        <f t="shared" si="23"/>
        <v>12900</v>
      </c>
      <c r="AA45" s="125">
        <f t="shared" ref="AA45" si="24">AA44*AA43</f>
        <v>21000</v>
      </c>
      <c r="AB45" s="125">
        <f t="shared" ref="AB45" si="25">AB44*AB43</f>
        <v>21000</v>
      </c>
      <c r="AC45" s="125">
        <f t="shared" ref="AC45" si="26">AC44*AC43</f>
        <v>19950</v>
      </c>
      <c r="AD45" s="125">
        <f t="shared" ref="AD45" si="27">AD44*AD43</f>
        <v>19950</v>
      </c>
      <c r="AE45" s="125">
        <f t="shared" ref="AE45" si="28">AE44*AE43</f>
        <v>21000</v>
      </c>
      <c r="AF45" s="125">
        <f t="shared" ref="AF45" si="29">AF44*AF43</f>
        <v>21000</v>
      </c>
      <c r="AG45" s="125">
        <f t="shared" ref="AG45" si="30">AG44*AG43</f>
        <v>21000</v>
      </c>
      <c r="AH45" s="125">
        <f t="shared" ref="AH45" si="31">AH44*AH43</f>
        <v>21000</v>
      </c>
    </row>
    <row r="46" spans="1:34" x14ac:dyDescent="0.2">
      <c r="A46" s="30" t="s">
        <v>178</v>
      </c>
      <c r="B46" s="125"/>
      <c r="C46" s="125">
        <f>C39</f>
        <v>1500</v>
      </c>
      <c r="D46" s="125">
        <f t="shared" ref="D46:E46" si="32">D39</f>
        <v>1500</v>
      </c>
      <c r="E46" s="125">
        <f t="shared" si="32"/>
        <v>1500</v>
      </c>
      <c r="F46" s="125">
        <f>F39-1500</f>
        <v>1500</v>
      </c>
      <c r="G46" s="125">
        <f>G39</f>
        <v>1500</v>
      </c>
      <c r="H46" s="125">
        <f>H39</f>
        <v>1500</v>
      </c>
      <c r="I46" s="125"/>
      <c r="J46" s="125">
        <f>IF(J31+J34+J37+J38+J39&gt;60000,60000,J31+J34+J37+J38+J39)</f>
        <v>48500</v>
      </c>
      <c r="K46" s="125">
        <f>IF(K31+K34+K39&gt;60000,60000,K31+K34+K39)</f>
        <v>14500</v>
      </c>
      <c r="L46" s="125">
        <f>IF(L31+L34+L39&gt;60000,60000,L31+L34+L39)</f>
        <v>14500</v>
      </c>
      <c r="M46" s="125">
        <f>IF(M31+M34+M39&gt;60000,60000,M31+M34+M39)</f>
        <v>38000</v>
      </c>
      <c r="N46" s="125">
        <f>IF(N31+N34+N39&gt;60000,60000,N31+N34+N39)</f>
        <v>28500</v>
      </c>
      <c r="O46" s="125">
        <f>IF(O31+O34+O39&gt;60000,60000,O31+O34+O39)</f>
        <v>44700</v>
      </c>
      <c r="P46" s="125">
        <f>IF(P35&gt;60000,60000,P35)</f>
        <v>9000</v>
      </c>
      <c r="Q46" s="125">
        <f>IF(Q35&gt;60000,60000,Q35)</f>
        <v>13000</v>
      </c>
      <c r="R46" s="125">
        <f>R39</f>
        <v>1500</v>
      </c>
      <c r="S46" s="125">
        <f t="shared" ref="S46:T46" si="33">S39</f>
        <v>1500</v>
      </c>
      <c r="T46" s="125">
        <f t="shared" si="33"/>
        <v>1500</v>
      </c>
      <c r="U46" s="125">
        <f>IF(U31+U33+U35+U39&gt;60000,60000,U31+U33+U35+U39)</f>
        <v>36500</v>
      </c>
      <c r="V46" s="125">
        <f>IF(V31+V33+V35+V39&gt;60000,60000,V31+V33+V35+V39)</f>
        <v>44500</v>
      </c>
      <c r="W46" s="125">
        <f>IF(W31-14000+W34+W39&gt;60000,60000,W31-14000+W34+W39)</f>
        <v>28500</v>
      </c>
      <c r="X46" s="125">
        <f>X39</f>
        <v>1500</v>
      </c>
      <c r="Y46" s="125">
        <f t="shared" ref="Y46:Z46" si="34">Y39</f>
        <v>1500</v>
      </c>
      <c r="Z46" s="125">
        <f t="shared" si="34"/>
        <v>1500</v>
      </c>
      <c r="AA46" s="125">
        <f>IF(AA31+AA34+AA37+AA38+AA39&gt;60000,60000,AA31+AA34+AA37+AA38+AA39)</f>
        <v>44500</v>
      </c>
      <c r="AB46" s="125">
        <f>IF(AB31+AB35+AB39&gt;60000,60000,AB31+AB35+AB39)</f>
        <v>56800</v>
      </c>
      <c r="AC46" s="125">
        <f>IF(AC31+AC34+AC39&gt;60000,60000,AC31+AC34+AC39)</f>
        <v>28500</v>
      </c>
      <c r="AD46" s="125">
        <f>IF(AD31+AD34+AD39&gt;60000,60000,AD31+AD34+AD39)</f>
        <v>28500</v>
      </c>
      <c r="AE46" s="125">
        <f>IF(AE31+AE34+AE39&gt;60000,60000,AE31+AE34+AE39)</f>
        <v>44700</v>
      </c>
      <c r="AF46" s="125">
        <f>IF(AF31+AF34+AF39&gt;60000,60000,AF31+AF34+AF39)</f>
        <v>44700</v>
      </c>
      <c r="AG46" s="125">
        <f>IF(AG31+AG35+AG39&gt;60000,60000,AG31+AG35+AG39)</f>
        <v>56800</v>
      </c>
      <c r="AH46" s="125">
        <f>IF(AH31+AH35+AH39&gt;60000,60000,AH31+AH35+AH39)</f>
        <v>56800</v>
      </c>
    </row>
    <row r="47" spans="1:34" x14ac:dyDescent="0.2">
      <c r="A47" s="30" t="s">
        <v>179</v>
      </c>
      <c r="B47" s="125"/>
      <c r="C47" s="125">
        <f>0.15*C46</f>
        <v>225</v>
      </c>
      <c r="D47" s="125">
        <f t="shared" ref="D47:F47" si="35">0.15*D46</f>
        <v>225</v>
      </c>
      <c r="E47" s="125">
        <f t="shared" si="35"/>
        <v>225</v>
      </c>
      <c r="F47" s="125">
        <f t="shared" si="35"/>
        <v>225</v>
      </c>
      <c r="G47" s="125">
        <f>0.15*G46</f>
        <v>225</v>
      </c>
      <c r="H47" s="125">
        <f>0.15*H46</f>
        <v>225</v>
      </c>
      <c r="I47" s="125"/>
      <c r="J47" s="125">
        <f>J46*0.35</f>
        <v>16975</v>
      </c>
      <c r="K47" s="125">
        <f>K46*0.4</f>
        <v>5800</v>
      </c>
      <c r="L47" s="125">
        <f>0.4*L46</f>
        <v>5800</v>
      </c>
      <c r="M47" s="125">
        <f>0.4*M46</f>
        <v>15200</v>
      </c>
      <c r="N47" s="125">
        <f>0.4*N46</f>
        <v>11400</v>
      </c>
      <c r="O47" s="125">
        <f>0.4*O46</f>
        <v>17880</v>
      </c>
      <c r="P47" s="125">
        <f>0.25*P46</f>
        <v>2250</v>
      </c>
      <c r="Q47" s="125">
        <f>0.25*Q46</f>
        <v>3250</v>
      </c>
      <c r="R47" s="125">
        <f>0.15*R46</f>
        <v>225</v>
      </c>
      <c r="S47" s="125">
        <f t="shared" ref="S47:T47" si="36">0.15*S46</f>
        <v>225</v>
      </c>
      <c r="T47" s="125">
        <f t="shared" si="36"/>
        <v>225</v>
      </c>
      <c r="U47" s="125">
        <f>0.35*U35+0.2*(U46-U35)</f>
        <v>9250</v>
      </c>
      <c r="V47" s="125">
        <f>0.35*V35+0.2*(V46-V35)</f>
        <v>10850</v>
      </c>
      <c r="W47" s="125">
        <f>0.3*W46</f>
        <v>8550</v>
      </c>
      <c r="X47" s="125">
        <f>0.15*X46</f>
        <v>225</v>
      </c>
      <c r="Y47" s="125">
        <f t="shared" ref="Y47:Z47" si="37">0.15*Y46</f>
        <v>225</v>
      </c>
      <c r="Z47" s="125">
        <f t="shared" si="37"/>
        <v>225</v>
      </c>
      <c r="AA47" s="125">
        <f>0.2*AA46</f>
        <v>8900</v>
      </c>
      <c r="AB47" s="125">
        <f>0.4*(AB46-AB35)+0.35*AB35</f>
        <v>22070</v>
      </c>
      <c r="AC47" s="125">
        <f>0.4*AC46</f>
        <v>11400</v>
      </c>
      <c r="AD47" s="125">
        <f>0.4*AD46</f>
        <v>11400</v>
      </c>
      <c r="AE47" s="125">
        <f>0.4*AE46</f>
        <v>17880</v>
      </c>
      <c r="AF47" s="125">
        <f>0.4*AF46</f>
        <v>17880</v>
      </c>
      <c r="AG47" s="125">
        <f>0.4*(AG46-AG35)+0.35*AG35</f>
        <v>22070</v>
      </c>
      <c r="AH47" s="125">
        <f>0.4*(AH46-AH35)+0.35*AH35</f>
        <v>22070</v>
      </c>
    </row>
    <row r="48" spans="1:34" x14ac:dyDescent="0.2">
      <c r="A48" s="30" t="s">
        <v>162</v>
      </c>
      <c r="B48" s="125"/>
      <c r="C48" s="125"/>
      <c r="D48" s="125"/>
      <c r="E48" s="125"/>
      <c r="F48" s="125"/>
      <c r="G48" s="125"/>
      <c r="H48" s="125"/>
      <c r="I48" s="125">
        <v>2400</v>
      </c>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row>
    <row r="49" spans="1:34" x14ac:dyDescent="0.2">
      <c r="A49" s="30" t="s">
        <v>163</v>
      </c>
      <c r="B49" s="125"/>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row>
    <row r="50" spans="1:34" x14ac:dyDescent="0.2">
      <c r="A50" s="42" t="s">
        <v>6</v>
      </c>
      <c r="B50" s="97">
        <f>B47+B48+B49</f>
        <v>0</v>
      </c>
      <c r="C50" s="97">
        <f>IF($B$20="n",C47+C48+C49,C45+C48+C49)</f>
        <v>225</v>
      </c>
      <c r="D50" s="97">
        <f t="shared" ref="D50:AH50" si="38">IF($B$20="n",D47+D48+D49,D45+D48+D49)</f>
        <v>225</v>
      </c>
      <c r="E50" s="97">
        <f t="shared" si="38"/>
        <v>225</v>
      </c>
      <c r="F50" s="97">
        <f t="shared" si="38"/>
        <v>225</v>
      </c>
      <c r="G50" s="97">
        <f t="shared" si="38"/>
        <v>225</v>
      </c>
      <c r="H50" s="97">
        <f t="shared" si="38"/>
        <v>225</v>
      </c>
      <c r="I50" s="97">
        <f t="shared" si="38"/>
        <v>2400</v>
      </c>
      <c r="J50" s="97">
        <f t="shared" si="38"/>
        <v>16975</v>
      </c>
      <c r="K50" s="97">
        <f t="shared" si="38"/>
        <v>5800</v>
      </c>
      <c r="L50" s="97">
        <f t="shared" si="38"/>
        <v>5800</v>
      </c>
      <c r="M50" s="97">
        <f t="shared" si="38"/>
        <v>15200</v>
      </c>
      <c r="N50" s="97">
        <f t="shared" si="38"/>
        <v>11400</v>
      </c>
      <c r="O50" s="97">
        <f t="shared" si="38"/>
        <v>17880</v>
      </c>
      <c r="P50" s="97">
        <f t="shared" si="38"/>
        <v>2250</v>
      </c>
      <c r="Q50" s="97">
        <f t="shared" si="38"/>
        <v>3250</v>
      </c>
      <c r="R50" s="97">
        <f t="shared" si="38"/>
        <v>225</v>
      </c>
      <c r="S50" s="97">
        <f t="shared" si="38"/>
        <v>225</v>
      </c>
      <c r="T50" s="97">
        <f t="shared" si="38"/>
        <v>225</v>
      </c>
      <c r="U50" s="97">
        <f t="shared" si="38"/>
        <v>9250</v>
      </c>
      <c r="V50" s="97">
        <f t="shared" si="38"/>
        <v>10850</v>
      </c>
      <c r="W50" s="97">
        <f t="shared" si="38"/>
        <v>8550</v>
      </c>
      <c r="X50" s="97">
        <f t="shared" si="38"/>
        <v>225</v>
      </c>
      <c r="Y50" s="97">
        <f t="shared" si="38"/>
        <v>225</v>
      </c>
      <c r="Z50" s="97">
        <f t="shared" si="38"/>
        <v>225</v>
      </c>
      <c r="AA50" s="97">
        <f t="shared" si="38"/>
        <v>8900</v>
      </c>
      <c r="AB50" s="97">
        <f t="shared" si="38"/>
        <v>22070</v>
      </c>
      <c r="AC50" s="97">
        <f t="shared" si="38"/>
        <v>11400</v>
      </c>
      <c r="AD50" s="97">
        <f t="shared" si="38"/>
        <v>11400</v>
      </c>
      <c r="AE50" s="97">
        <f t="shared" si="38"/>
        <v>17880</v>
      </c>
      <c r="AF50" s="97">
        <f t="shared" si="38"/>
        <v>17880</v>
      </c>
      <c r="AG50" s="97">
        <f t="shared" si="38"/>
        <v>22070</v>
      </c>
      <c r="AH50" s="97">
        <f t="shared" si="38"/>
        <v>22070</v>
      </c>
    </row>
    <row r="51" spans="1:34" x14ac:dyDescent="0.2">
      <c r="A51" s="25" t="s">
        <v>25</v>
      </c>
      <c r="B51" s="29">
        <f t="shared" ref="B51:G51" si="39">B41-B50</f>
        <v>0</v>
      </c>
      <c r="C51" s="29">
        <f t="shared" si="39"/>
        <v>1275</v>
      </c>
      <c r="D51" s="29">
        <f t="shared" si="39"/>
        <v>7945</v>
      </c>
      <c r="E51" s="29">
        <f t="shared" si="39"/>
        <v>7945</v>
      </c>
      <c r="F51" s="29">
        <f t="shared" si="39"/>
        <v>9445</v>
      </c>
      <c r="G51" s="29">
        <f t="shared" si="39"/>
        <v>16945</v>
      </c>
      <c r="H51" s="29">
        <f t="shared" ref="H51:AC51" si="40">H41-H50</f>
        <v>23945</v>
      </c>
      <c r="I51" s="29">
        <f t="shared" si="40"/>
        <v>29770</v>
      </c>
      <c r="J51" s="29">
        <f t="shared" si="40"/>
        <v>22195</v>
      </c>
      <c r="K51" s="29">
        <f t="shared" si="40"/>
        <v>-630</v>
      </c>
      <c r="L51" s="29">
        <f t="shared" si="40"/>
        <v>-630</v>
      </c>
      <c r="M51" s="29">
        <f t="shared" si="40"/>
        <v>13470</v>
      </c>
      <c r="N51" s="29">
        <f t="shared" si="40"/>
        <v>7770</v>
      </c>
      <c r="O51" s="29">
        <f t="shared" si="40"/>
        <v>17490</v>
      </c>
      <c r="P51" s="29">
        <f>P41-P50</f>
        <v>13920</v>
      </c>
      <c r="Q51" s="29">
        <f>Q41-Q50</f>
        <v>16920</v>
      </c>
      <c r="R51" s="29">
        <f>R41-R50</f>
        <v>19945</v>
      </c>
      <c r="S51" s="29">
        <f>S41-S50</f>
        <v>20945</v>
      </c>
      <c r="T51" s="29">
        <f t="shared" si="40"/>
        <v>25945</v>
      </c>
      <c r="U51" s="29">
        <f t="shared" si="40"/>
        <v>17920</v>
      </c>
      <c r="V51" s="29">
        <f t="shared" si="40"/>
        <v>24320</v>
      </c>
      <c r="W51" s="29">
        <f t="shared" si="40"/>
        <v>25620</v>
      </c>
      <c r="X51" s="29">
        <f t="shared" si="40"/>
        <v>26945</v>
      </c>
      <c r="Y51" s="29">
        <f t="shared" si="40"/>
        <v>36945</v>
      </c>
      <c r="Z51" s="29">
        <f t="shared" si="40"/>
        <v>41945</v>
      </c>
      <c r="AA51" s="29">
        <f t="shared" si="40"/>
        <v>26270</v>
      </c>
      <c r="AB51" s="29">
        <f t="shared" si="40"/>
        <v>25400</v>
      </c>
      <c r="AC51" s="29">
        <f t="shared" si="40"/>
        <v>17770</v>
      </c>
      <c r="AD51" s="29">
        <f t="shared" ref="AD51:AH51" si="41">AD41-AD50</f>
        <v>22770</v>
      </c>
      <c r="AE51" s="29">
        <f t="shared" si="41"/>
        <v>27490</v>
      </c>
      <c r="AF51" s="29">
        <f t="shared" si="41"/>
        <v>32490</v>
      </c>
      <c r="AG51" s="29">
        <f t="shared" si="41"/>
        <v>35400</v>
      </c>
      <c r="AH51" s="29">
        <f t="shared" si="41"/>
        <v>40400</v>
      </c>
    </row>
    <row r="52" spans="1:34" x14ac:dyDescent="0.2">
      <c r="A52" s="36" t="s">
        <v>132</v>
      </c>
      <c r="B52" s="37">
        <v>0</v>
      </c>
      <c r="C52" s="37">
        <f>C51-$B$41</f>
        <v>1275</v>
      </c>
      <c r="D52" s="37">
        <f t="shared" ref="D52:AC52" si="42">D51-$B$51</f>
        <v>7945</v>
      </c>
      <c r="E52" s="37">
        <f t="shared" si="42"/>
        <v>7945</v>
      </c>
      <c r="F52" s="37">
        <f t="shared" si="42"/>
        <v>9445</v>
      </c>
      <c r="G52" s="37">
        <f t="shared" si="42"/>
        <v>16945</v>
      </c>
      <c r="H52" s="37">
        <f t="shared" si="42"/>
        <v>23945</v>
      </c>
      <c r="I52" s="37">
        <f t="shared" si="42"/>
        <v>29770</v>
      </c>
      <c r="J52" s="37">
        <f t="shared" si="42"/>
        <v>22195</v>
      </c>
      <c r="K52" s="37">
        <f t="shared" si="42"/>
        <v>-630</v>
      </c>
      <c r="L52" s="37">
        <f>L51-$B$41</f>
        <v>-630</v>
      </c>
      <c r="M52" s="37">
        <f>M51-$B$51</f>
        <v>13470</v>
      </c>
      <c r="N52" s="37">
        <f t="shared" si="42"/>
        <v>7770</v>
      </c>
      <c r="O52" s="37">
        <f t="shared" si="42"/>
        <v>17490</v>
      </c>
      <c r="P52" s="37">
        <f>P51-$B$51</f>
        <v>13920</v>
      </c>
      <c r="Q52" s="37">
        <f>Q51-$B$51</f>
        <v>16920</v>
      </c>
      <c r="R52" s="37">
        <f>R51-$B$51</f>
        <v>19945</v>
      </c>
      <c r="S52" s="37">
        <f>S51-$B$51</f>
        <v>20945</v>
      </c>
      <c r="T52" s="37">
        <f t="shared" si="42"/>
        <v>25945</v>
      </c>
      <c r="U52" s="37">
        <f t="shared" si="42"/>
        <v>17920</v>
      </c>
      <c r="V52" s="37">
        <f t="shared" si="42"/>
        <v>24320</v>
      </c>
      <c r="W52" s="37">
        <f t="shared" si="42"/>
        <v>25620</v>
      </c>
      <c r="X52" s="37">
        <f t="shared" si="42"/>
        <v>26945</v>
      </c>
      <c r="Y52" s="37">
        <f t="shared" si="42"/>
        <v>36945</v>
      </c>
      <c r="Z52" s="37">
        <f t="shared" si="42"/>
        <v>41945</v>
      </c>
      <c r="AA52" s="37">
        <f t="shared" si="42"/>
        <v>26270</v>
      </c>
      <c r="AB52" s="37">
        <f t="shared" si="42"/>
        <v>25400</v>
      </c>
      <c r="AC52" s="37">
        <f t="shared" si="42"/>
        <v>17770</v>
      </c>
      <c r="AD52" s="37">
        <f t="shared" ref="AD52:AH52" si="43">AD51-$B$51</f>
        <v>22770</v>
      </c>
      <c r="AE52" s="37">
        <f t="shared" si="43"/>
        <v>27490</v>
      </c>
      <c r="AF52" s="37">
        <f t="shared" si="43"/>
        <v>32490</v>
      </c>
      <c r="AG52" s="37">
        <f t="shared" si="43"/>
        <v>35400</v>
      </c>
      <c r="AH52" s="37">
        <f t="shared" si="43"/>
        <v>40400</v>
      </c>
    </row>
    <row r="53" spans="1:34" x14ac:dyDescent="0.2">
      <c r="A53" s="42" t="s">
        <v>130</v>
      </c>
      <c r="B53" s="43">
        <f>10*ROUND(B6*'Haustechnikvarianten gesamt'!B45/'Haustechnikvarianten gesamt'!B5/10,0)</f>
        <v>35880</v>
      </c>
      <c r="C53" s="43">
        <f>10*ROUND(('Haustechnikvarianten berechnen'!$B$53-('Haustechnikvarianten gesamt'!$B$45-'Haustechnikvarianten gesamt'!C45)*(1-'Haustechnikvarianten berechnen'!$B$7)/(1-'Haustechnikvarianten berechnen'!$F$7))/10,0)</f>
        <v>28860</v>
      </c>
      <c r="D53" s="43">
        <f>10*ROUND(('Haustechnikvarianten berechnen'!$B$53-('Haustechnikvarianten gesamt'!$B$45-'Haustechnikvarianten gesamt'!D45)*(1-'Haustechnikvarianten berechnen'!$B$7)/(1-'Haustechnikvarianten berechnen'!$F$7))/10,0)</f>
        <v>25120</v>
      </c>
      <c r="E53" s="43">
        <f>10*ROUND(('Haustechnikvarianten berechnen'!$B$53-('Haustechnikvarianten gesamt'!$B$45-'Haustechnikvarianten gesamt'!E45)*(1-'Haustechnikvarianten berechnen'!$B$7)/(1-'Haustechnikvarianten berechnen'!$F$7))/10,0)</f>
        <v>25120</v>
      </c>
      <c r="F53" s="43">
        <f>10*ROUND(('Haustechnikvarianten berechnen'!$B$53-('Haustechnikvarianten gesamt'!$B$45-'Haustechnikvarianten gesamt'!F45)*(1-'Haustechnikvarianten berechnen'!$B$7)/(1-'Haustechnikvarianten berechnen'!$F$7))/10,0)</f>
        <v>23270</v>
      </c>
      <c r="G53" s="43">
        <f>10*ROUND('Haustechnikvarianten gesamt'!G45*'Haustechnikvarianten berechnen'!$AI$6/10,0)</f>
        <v>35350</v>
      </c>
      <c r="H53" s="43">
        <f>10*ROUND('Haustechnikvarianten gesamt'!H45*'Haustechnikvarianten berechnen'!$AI$6/10,0)</f>
        <v>26510</v>
      </c>
      <c r="I53" s="43">
        <f>10*ROUND('Haustechnikvarianten gesamt'!I45*'Haustechnikvarianten berechnen'!$AI$6/10,0)</f>
        <v>32010</v>
      </c>
      <c r="J53" s="43">
        <f>10*ROUND('Haustechnikvarianten gesamt'!J45*'Haustechnikvarianten berechnen'!$AI$6/10,0)</f>
        <v>29570</v>
      </c>
      <c r="K53" s="43">
        <f>10*ROUND('Haustechnikvarianten gesamt'!K45*'Haustechnikvarianten berechnen'!$AI$6/10,0)</f>
        <v>25650</v>
      </c>
      <c r="L53" s="43">
        <f>10*ROUND('Haustechnikvarianten gesamt'!L45*'Haustechnikvarianten berechnen'!$AI$6/10,0)</f>
        <v>25650</v>
      </c>
      <c r="M53" s="43">
        <f>10*ROUND('Haustechnikvarianten gesamt'!M45*'Haustechnikvarianten berechnen'!$AI$6/10,0)</f>
        <v>6090</v>
      </c>
      <c r="N53" s="43">
        <f>10*ROUND('Haustechnikvarianten gesamt'!N45*'Haustechnikvarianten berechnen'!$AI$6/10,0)</f>
        <v>10530</v>
      </c>
      <c r="O53" s="43">
        <f>10*ROUND('Haustechnikvarianten gesamt'!O45*'Haustechnikvarianten berechnen'!$AI$6/10,0)</f>
        <v>6230</v>
      </c>
      <c r="P53" s="43">
        <f>10*ROUND(($E$53-('Haustechnikvarianten gesamt'!$E$45-'Haustechnikvarianten gesamt'!P45))/10,0)</f>
        <v>21790</v>
      </c>
      <c r="Q53" s="43">
        <f>10*ROUND(($E$53-('Haustechnikvarianten gesamt'!$E$45-'Haustechnikvarianten gesamt'!Q45))/10,0)</f>
        <v>20400</v>
      </c>
      <c r="R53" s="43">
        <f>10*ROUND(($E$53-('Haustechnikvarianten gesamt'!$E$45-'Haustechnikvarianten gesamt'!R45))/10,0)</f>
        <v>20000</v>
      </c>
      <c r="S53" s="43">
        <f>10*ROUND(($E$53-('Haustechnikvarianten gesamt'!$E$45-'Haustechnikvarianten gesamt'!S45))/10,0)</f>
        <v>20000</v>
      </c>
      <c r="T53" s="43">
        <f>10*ROUND(($E$53-('Haustechnikvarianten gesamt'!$E$45-'Haustechnikvarianten gesamt'!T45))/10,0)</f>
        <v>20000</v>
      </c>
      <c r="U53" s="43">
        <f>10*ROUND(($G$53-('Haustechnikvarianten gesamt'!$G$45-'Haustechnikvarianten gesamt'!U45))/10,0)</f>
        <v>29890</v>
      </c>
      <c r="V53" s="43">
        <f>10*ROUND(($H$53-('Haustechnikvarianten gesamt'!$H$45-'Haustechnikvarianten gesamt'!V45))/10,0)</f>
        <v>22010</v>
      </c>
      <c r="W53" s="43">
        <f>10*ROUND('Haustechnikvarianten gesamt'!W45*'Haustechnikvarianten berechnen'!$AI$6/10,0)</f>
        <v>4900</v>
      </c>
      <c r="X53" s="43">
        <f>10*ROUND('Haustechnikvarianten gesamt'!X45*'Haustechnikvarianten berechnen'!$AI$6/10,0)</f>
        <v>4900</v>
      </c>
      <c r="Y53" s="43">
        <f>10*ROUND('Haustechnikvarianten gesamt'!Y45*'Haustechnikvarianten berechnen'!$AI$6/10,0)</f>
        <v>4900</v>
      </c>
      <c r="Z53" s="43">
        <f>10*ROUND('Haustechnikvarianten gesamt'!Z45*'Haustechnikvarianten berechnen'!$AI$6/10,0)</f>
        <v>4900</v>
      </c>
      <c r="AA53" s="43">
        <f>10*ROUND('Haustechnikvarianten gesamt'!AA45*'Haustechnikvarianten berechnen'!$AI$6/10,0)</f>
        <v>4900</v>
      </c>
      <c r="AB53" s="43">
        <f>10*ROUND('Haustechnikvarianten gesamt'!AB45*'Haustechnikvarianten berechnen'!$AI$6/10,0)</f>
        <v>4140</v>
      </c>
      <c r="AC53" s="43">
        <f>10*ROUND('Haustechnikvarianten gesamt'!AC45*'Haustechnikvarianten berechnen'!$AI$6/10,0)</f>
        <v>0</v>
      </c>
      <c r="AD53" s="43">
        <f>10*ROUND('Haustechnikvarianten gesamt'!AD45*'Haustechnikvarianten berechnen'!$AI$6/10,0)</f>
        <v>0</v>
      </c>
      <c r="AE53" s="43">
        <f>10*ROUND('Haustechnikvarianten gesamt'!AE45*'Haustechnikvarianten berechnen'!$AI$6/10,0)</f>
        <v>0</v>
      </c>
      <c r="AF53" s="43">
        <f>10*ROUND('Haustechnikvarianten gesamt'!AF45*'Haustechnikvarianten berechnen'!$AI$6/10,0)</f>
        <v>0</v>
      </c>
      <c r="AG53" s="43">
        <f>10*ROUND('Haustechnikvarianten gesamt'!AG45*'Haustechnikvarianten berechnen'!$AI$6/10,0)</f>
        <v>0</v>
      </c>
      <c r="AH53" s="43">
        <f>10*ROUND('Haustechnikvarianten gesamt'!AH45*'Haustechnikvarianten berechnen'!$AI$6/10,0)</f>
        <v>0</v>
      </c>
    </row>
    <row r="54" spans="1:34" x14ac:dyDescent="0.2">
      <c r="A54" s="45" t="s">
        <v>131</v>
      </c>
      <c r="B54" s="46">
        <f>10*ROUND('Haustechnikvarianten gesamt'!B46*'Haustechnikvarianten berechnen'!$AI$6/10,0)</f>
        <v>530</v>
      </c>
      <c r="C54" s="43">
        <f>10*ROUND(('Haustechnikvarianten berechnen'!$B$54-('Haustechnikvarianten gesamt'!$B$46-'Haustechnikvarianten gesamt'!C46)*(1-'Haustechnikvarianten berechnen'!$B$7)/(1-'Haustechnikvarianten berechnen'!$F$7))/10,0)</f>
        <v>440</v>
      </c>
      <c r="D54" s="43">
        <f>10*ROUND(('Haustechnikvarianten berechnen'!$B$54-('Haustechnikvarianten gesamt'!$B$46-'Haustechnikvarianten gesamt'!D46)*(1-'Haustechnikvarianten berechnen'!$B$7)/(1-'Haustechnikvarianten berechnen'!$F$7))/10,0)</f>
        <v>540</v>
      </c>
      <c r="E54" s="43">
        <f>10*ROUND(('Haustechnikvarianten berechnen'!$B$54-('Haustechnikvarianten gesamt'!$B$46-'Haustechnikvarianten gesamt'!E46)*(1-'Haustechnikvarianten berechnen'!$B$7)/(1-'Haustechnikvarianten berechnen'!$F$7))/10,0)</f>
        <v>540</v>
      </c>
      <c r="F54" s="43">
        <f>10*ROUND(('Haustechnikvarianten berechnen'!$B$54-('Haustechnikvarianten gesamt'!$B$46-'Haustechnikvarianten gesamt'!F46)*(1-'Haustechnikvarianten berechnen'!$B$7)/(1-'Haustechnikvarianten berechnen'!$F$7))/10,0)</f>
        <v>520</v>
      </c>
      <c r="G54" s="46">
        <f>10*ROUND('Haustechnikvarianten gesamt'!G46*'Haustechnikvarianten berechnen'!$AI$6/10,0)</f>
        <v>500</v>
      </c>
      <c r="H54" s="46">
        <f>10*ROUND('Haustechnikvarianten gesamt'!H46*'Haustechnikvarianten berechnen'!$AI$6/10,0)</f>
        <v>360</v>
      </c>
      <c r="I54" s="46">
        <f>10*ROUND('Haustechnikvarianten gesamt'!I46*'Haustechnikvarianten berechnen'!$AI$6/10,0)</f>
        <v>0</v>
      </c>
      <c r="J54" s="46">
        <f>10*ROUND('Haustechnikvarianten gesamt'!J46*'Haustechnikvarianten berechnen'!$AI$6/10,0)</f>
        <v>0</v>
      </c>
      <c r="K54" s="46">
        <f>10*ROUND('Haustechnikvarianten gesamt'!K46*'Haustechnikvarianten berechnen'!$AI$6/10,0)</f>
        <v>310</v>
      </c>
      <c r="L54" s="46">
        <f>10*ROUND('Haustechnikvarianten gesamt'!L46*'Haustechnikvarianten berechnen'!$AI$6/10,0)</f>
        <v>310</v>
      </c>
      <c r="M54" s="46">
        <f>10*ROUND('Haustechnikvarianten gesamt'!M46*'Haustechnikvarianten berechnen'!$AI$6/10,0)</f>
        <v>360</v>
      </c>
      <c r="N54" s="46">
        <f>10*ROUND('Haustechnikvarianten gesamt'!N46*'Haustechnikvarianten berechnen'!$AI$6/10,0)</f>
        <v>430</v>
      </c>
      <c r="O54" s="46">
        <f>10*ROUND('Haustechnikvarianten gesamt'!O46*'Haustechnikvarianten berechnen'!$AI$6/10,0)</f>
        <v>520</v>
      </c>
      <c r="P54" s="46">
        <f>10*ROUND('Haustechnikvarianten gesamt'!P46*'Haustechnikvarianten berechnen'!$AI$6/10,0)</f>
        <v>510</v>
      </c>
      <c r="Q54" s="46">
        <f>10*ROUND('Haustechnikvarianten gesamt'!Q46*'Haustechnikvarianten berechnen'!$AI$6/10,0)</f>
        <v>560</v>
      </c>
      <c r="R54" s="46">
        <f>10*ROUND('Haustechnikvarianten gesamt'!R46*'Haustechnikvarianten berechnen'!$AI$6/10,0)</f>
        <v>1360</v>
      </c>
      <c r="S54" s="46">
        <f>10*ROUND('Haustechnikvarianten gesamt'!S46*'Haustechnikvarianten berechnen'!$AI$6/10,0)</f>
        <v>220</v>
      </c>
      <c r="T54" s="46">
        <f>10*ROUND('Haustechnikvarianten gesamt'!T46*'Haustechnikvarianten berechnen'!$AI$6/10,0)</f>
        <v>220</v>
      </c>
      <c r="U54" s="46">
        <f>10*ROUND('Haustechnikvarianten gesamt'!U46*'Haustechnikvarianten berechnen'!$AI$6/10,0)</f>
        <v>530</v>
      </c>
      <c r="V54" s="46">
        <f>10*ROUND('Haustechnikvarianten gesamt'!V46*'Haustechnikvarianten berechnen'!$AI$6/10,0)</f>
        <v>420</v>
      </c>
      <c r="W54" s="46">
        <f>10*ROUND('Haustechnikvarianten gesamt'!W46*'Haustechnikvarianten berechnen'!$AI$6/10,0)</f>
        <v>5880</v>
      </c>
      <c r="X54" s="46">
        <f>10*ROUND('Haustechnikvarianten gesamt'!X46*'Haustechnikvarianten berechnen'!$AI$6/10,0)</f>
        <v>5880</v>
      </c>
      <c r="Y54" s="46">
        <f>10*ROUND('Haustechnikvarianten gesamt'!Y46*'Haustechnikvarianten berechnen'!$AI$6/10,0)</f>
        <v>3760</v>
      </c>
      <c r="Z54" s="46">
        <f>10*ROUND('Haustechnikvarianten gesamt'!Z46*'Haustechnikvarianten berechnen'!$AI$6/10,0)</f>
        <v>3760</v>
      </c>
      <c r="AA54" s="46">
        <f>10*ROUND('Haustechnikvarianten gesamt'!AA46*'Haustechnikvarianten berechnen'!$AI$6/10,0)</f>
        <v>5880</v>
      </c>
      <c r="AB54" s="46">
        <f>10*ROUND('Haustechnikvarianten gesamt'!AB46*'Haustechnikvarianten berechnen'!$AI$6/10,0)</f>
        <v>520</v>
      </c>
      <c r="AC54" s="46">
        <f>10*ROUND('Haustechnikvarianten gesamt'!AC46*'Haustechnikvarianten berechnen'!$AI$6/10,0)</f>
        <v>8540</v>
      </c>
      <c r="AD54" s="46">
        <f>10*ROUND('Haustechnikvarianten gesamt'!AD46*'Haustechnikvarianten berechnen'!$AI$6/10,0)</f>
        <v>8540</v>
      </c>
      <c r="AE54" s="46">
        <f>10*ROUND('Haustechnikvarianten gesamt'!AE46*'Haustechnikvarianten berechnen'!$AI$6/10,0)</f>
        <v>4560</v>
      </c>
      <c r="AF54" s="46">
        <f>10*ROUND('Haustechnikvarianten gesamt'!AF46*'Haustechnikvarianten berechnen'!$AI$6/10,0)</f>
        <v>4560</v>
      </c>
      <c r="AG54" s="46">
        <f>10*ROUND('Haustechnikvarianten gesamt'!AG46*'Haustechnikvarianten berechnen'!$AI$6/10,0)</f>
        <v>2930</v>
      </c>
      <c r="AH54" s="46">
        <f>10*ROUND('Haustechnikvarianten gesamt'!AH46*'Haustechnikvarianten berechnen'!$AI$6/10,0)</f>
        <v>2930</v>
      </c>
    </row>
    <row r="55" spans="1:34" x14ac:dyDescent="0.2">
      <c r="A55" s="45" t="s">
        <v>56</v>
      </c>
      <c r="B55" s="46">
        <f>B53+B54</f>
        <v>36410</v>
      </c>
      <c r="C55" s="46">
        <f>C53+C54</f>
        <v>29300</v>
      </c>
      <c r="D55" s="46">
        <f t="shared" ref="D55:AC55" si="44">D53+D54</f>
        <v>25660</v>
      </c>
      <c r="E55" s="46">
        <f t="shared" si="44"/>
        <v>25660</v>
      </c>
      <c r="F55" s="46">
        <f t="shared" si="44"/>
        <v>23790</v>
      </c>
      <c r="G55" s="46">
        <f t="shared" si="44"/>
        <v>35850</v>
      </c>
      <c r="H55" s="46">
        <f t="shared" si="44"/>
        <v>26870</v>
      </c>
      <c r="I55" s="46">
        <f t="shared" si="44"/>
        <v>32010</v>
      </c>
      <c r="J55" s="46">
        <f t="shared" si="44"/>
        <v>29570</v>
      </c>
      <c r="K55" s="46">
        <f t="shared" si="44"/>
        <v>25960</v>
      </c>
      <c r="L55" s="46">
        <f t="shared" si="44"/>
        <v>25960</v>
      </c>
      <c r="M55" s="46">
        <f t="shared" si="44"/>
        <v>6450</v>
      </c>
      <c r="N55" s="46">
        <f t="shared" si="44"/>
        <v>10960</v>
      </c>
      <c r="O55" s="46">
        <f t="shared" si="44"/>
        <v>6750</v>
      </c>
      <c r="P55" s="46">
        <f t="shared" si="44"/>
        <v>22300</v>
      </c>
      <c r="Q55" s="46">
        <f t="shared" si="44"/>
        <v>20960</v>
      </c>
      <c r="R55" s="46">
        <f t="shared" si="44"/>
        <v>21360</v>
      </c>
      <c r="S55" s="46">
        <f t="shared" si="44"/>
        <v>20220</v>
      </c>
      <c r="T55" s="46">
        <f t="shared" si="44"/>
        <v>20220</v>
      </c>
      <c r="U55" s="46">
        <f t="shared" si="44"/>
        <v>30420</v>
      </c>
      <c r="V55" s="46">
        <f t="shared" si="44"/>
        <v>22430</v>
      </c>
      <c r="W55" s="46">
        <f t="shared" si="44"/>
        <v>10780</v>
      </c>
      <c r="X55" s="46">
        <f t="shared" si="44"/>
        <v>10780</v>
      </c>
      <c r="Y55" s="46">
        <f t="shared" si="44"/>
        <v>8660</v>
      </c>
      <c r="Z55" s="46">
        <f t="shared" si="44"/>
        <v>8660</v>
      </c>
      <c r="AA55" s="46">
        <f t="shared" si="44"/>
        <v>10780</v>
      </c>
      <c r="AB55" s="46">
        <f t="shared" si="44"/>
        <v>4660</v>
      </c>
      <c r="AC55" s="46">
        <f t="shared" si="44"/>
        <v>8540</v>
      </c>
      <c r="AD55" s="46">
        <f t="shared" ref="AD55:AH55" si="45">AD53+AD54</f>
        <v>8540</v>
      </c>
      <c r="AE55" s="46">
        <f t="shared" si="45"/>
        <v>4560</v>
      </c>
      <c r="AF55" s="46">
        <f t="shared" si="45"/>
        <v>4560</v>
      </c>
      <c r="AG55" s="46">
        <f t="shared" si="45"/>
        <v>2930</v>
      </c>
      <c r="AH55" s="46">
        <f t="shared" si="45"/>
        <v>2930</v>
      </c>
    </row>
    <row r="56" spans="1:34" x14ac:dyDescent="0.2">
      <c r="A56" s="45" t="s">
        <v>125</v>
      </c>
      <c r="B56" s="48">
        <f>10*ROUND((B53*$B$9+B54*$B$15)/1000,0)</f>
        <v>5240</v>
      </c>
      <c r="C56" s="48">
        <f>10*ROUND((C53*$B$9+C54*$B$15)/1000,0)</f>
        <v>4220</v>
      </c>
      <c r="D56" s="48">
        <f>10*ROUND((D53*$B$9+D54*$B$15)/1000,0)</f>
        <v>3730</v>
      </c>
      <c r="E56" s="48">
        <f>10*ROUND((E53*$B$10+E54*$B$15)/1000,0)</f>
        <v>3230</v>
      </c>
      <c r="F56" s="48">
        <f>10*ROUND((F53*$B$10+F54*$B$15)/1000,0)</f>
        <v>3000</v>
      </c>
      <c r="G56" s="48">
        <f>10*ROUND((G53*$E$12+G54*$B$15)/1000,0)</f>
        <v>2060</v>
      </c>
      <c r="H56" s="48">
        <f>10*ROUND((H53*$E$13+H54*$B$15)/1000,0)</f>
        <v>1770</v>
      </c>
      <c r="I56" s="48">
        <f>10*ROUND((I53*$B$10+I54*$B$15)/1000,0)</f>
        <v>3840</v>
      </c>
      <c r="J56" s="48">
        <f>10*ROUND((J53*$B$11+J54*$B$15)/1000,0)</f>
        <v>3550</v>
      </c>
      <c r="K56" s="48">
        <f>10*ROUND((K53*$B$14+K54*$B$15)/1000,0)</f>
        <v>2560</v>
      </c>
      <c r="L56" s="48">
        <f>10*ROUND((L53*$B$14+L54*$B$15)/1000,0)</f>
        <v>2560</v>
      </c>
      <c r="M56" s="48">
        <f>10*ROUND((M53*$B$16+M54*$B$15)/1000,0)</f>
        <v>1970</v>
      </c>
      <c r="N56" s="48">
        <f t="shared" ref="N56:O56" si="46">10*ROUND((N53*$B$16+N54*$B$15)/1000,0)</f>
        <v>3330</v>
      </c>
      <c r="O56" s="48">
        <f t="shared" si="46"/>
        <v>2080</v>
      </c>
      <c r="P56" s="48">
        <f>10*ROUND((P53*$B$10+P54*$B$15)/1000,0)</f>
        <v>2820</v>
      </c>
      <c r="Q56" s="48">
        <f>10*ROUND((Q53*$B$10+Q54*$B$15)/1000,0)</f>
        <v>2670</v>
      </c>
      <c r="R56" s="48">
        <f>10*ROUND((R53*$B$10+R54*$B$15)/1000,0)</f>
        <v>2940</v>
      </c>
      <c r="S56" s="48">
        <f>10*ROUND((S53*$B$10+S54*$B$15)/1000,0)</f>
        <v>2490</v>
      </c>
      <c r="T56" s="48">
        <f>10*ROUND((T53*$B$10+T54*$B$15)/1000,0)</f>
        <v>2490</v>
      </c>
      <c r="U56" s="48">
        <f>10*ROUND((U53*$E$12+U54*$B$15)/1000,0)</f>
        <v>1790</v>
      </c>
      <c r="V56" s="48">
        <f>10*ROUND((V53*$E$13+V54*$B$15)/1000,0)</f>
        <v>1520</v>
      </c>
      <c r="W56" s="48">
        <f>10*ROUND((W53*$B$9+W54*$B$16*1.02)/1000,0)</f>
        <v>2490</v>
      </c>
      <c r="X56" s="48">
        <f>10*ROUND((X53*$B$10+X54*$B$16*1.02)/1000,0)</f>
        <v>2390</v>
      </c>
      <c r="Y56" s="48">
        <f>10*ROUND((Y53*$B$10+Y54*$B$15)/1000,0)</f>
        <v>2090</v>
      </c>
      <c r="Z56" s="48">
        <f>10*ROUND((Z53*$B$10+Z54*$B$15)/1000,0)</f>
        <v>2090</v>
      </c>
      <c r="AA56" s="48">
        <f>10*ROUND((AA53*$E$13+AA54*$B$16*1.02)/1000,0)</f>
        <v>2100</v>
      </c>
      <c r="AB56" s="48">
        <f t="shared" ref="AB56:AC56" si="47">10*ROUND((AB53*$B$16+AB54*$B$15)/1000,0)</f>
        <v>1450</v>
      </c>
      <c r="AC56" s="48">
        <f t="shared" si="47"/>
        <v>3420</v>
      </c>
      <c r="AD56" s="48">
        <f t="shared" ref="AD56:AH56" si="48">10*ROUND((AD53*$B$16+AD54*$B$15)/1000,0)</f>
        <v>3420</v>
      </c>
      <c r="AE56" s="48">
        <f t="shared" si="48"/>
        <v>1820</v>
      </c>
      <c r="AF56" s="48">
        <f t="shared" si="48"/>
        <v>1820</v>
      </c>
      <c r="AG56" s="48">
        <f t="shared" si="48"/>
        <v>1170</v>
      </c>
      <c r="AH56" s="48">
        <f t="shared" si="48"/>
        <v>1170</v>
      </c>
    </row>
    <row r="57" spans="1:34" x14ac:dyDescent="0.2">
      <c r="A57" s="45" t="s">
        <v>126</v>
      </c>
      <c r="B57" s="99">
        <f>'Haustechnikvarianten gesamt'!B49</f>
        <v>0</v>
      </c>
      <c r="C57" s="99">
        <f>'Haustechnikvarianten gesamt'!C49</f>
        <v>0</v>
      </c>
      <c r="D57" s="99">
        <f>'Haustechnikvarianten gesamt'!D49</f>
        <v>0</v>
      </c>
      <c r="E57" s="99">
        <v>0</v>
      </c>
      <c r="F57" s="99">
        <f>'Haustechnikvarianten gesamt'!F49</f>
        <v>0</v>
      </c>
      <c r="G57" s="99">
        <f>'Haustechnikvarianten gesamt'!G49</f>
        <v>0</v>
      </c>
      <c r="H57" s="99">
        <f>'Haustechnikvarianten gesamt'!H49</f>
        <v>0</v>
      </c>
      <c r="I57" s="99">
        <f>IF(('Haustechnikvarianten gesamt'!I49*$AI$6&gt;7000),7000,'Haustechnikvarianten gesamt'!I49*$AI$6)</f>
        <v>6750</v>
      </c>
      <c r="J57" s="99">
        <f>IF(('Haustechnikvarianten gesamt'!J49*$AI$6&gt;6500),6500,'Haustechnikvarianten gesamt'!J49*$AI$6)</f>
        <v>6390</v>
      </c>
      <c r="K57" s="99">
        <f>'Haustechnikvarianten gesamt'!K49</f>
        <v>0</v>
      </c>
      <c r="L57" s="99">
        <f>'Haustechnikvarianten gesamt'!L49</f>
        <v>0</v>
      </c>
      <c r="M57" s="99">
        <f>'Haustechnikvarianten gesamt'!M49</f>
        <v>0</v>
      </c>
      <c r="N57" s="99">
        <f>'Haustechnikvarianten gesamt'!N49</f>
        <v>0</v>
      </c>
      <c r="O57" s="99">
        <f>'Haustechnikvarianten gesamt'!O49</f>
        <v>0</v>
      </c>
      <c r="P57" s="99">
        <f>'Haustechnikvarianten gesamt'!P49</f>
        <v>0</v>
      </c>
      <c r="Q57" s="99">
        <f>'Haustechnikvarianten gesamt'!Q49</f>
        <v>0</v>
      </c>
      <c r="R57" s="99">
        <f>'Haustechnikvarianten gesamt'!R49*$AI$8</f>
        <v>1130</v>
      </c>
      <c r="S57" s="99">
        <f>'Haustechnikvarianten gesamt'!S49*$AI$8</f>
        <v>3130</v>
      </c>
      <c r="T57" s="99">
        <f>'Haustechnikvarianten gesamt'!T49*$AI$8</f>
        <v>3130</v>
      </c>
      <c r="U57" s="99">
        <f>'Haustechnikvarianten gesamt'!U49*$AI$8</f>
        <v>0</v>
      </c>
      <c r="V57" s="99">
        <f>'Haustechnikvarianten gesamt'!V49*$AI$8</f>
        <v>0</v>
      </c>
      <c r="W57" s="99">
        <f>'Haustechnikvarianten gesamt'!W49*$AI$8</f>
        <v>0</v>
      </c>
      <c r="X57" s="99">
        <f>'Haustechnikvarianten gesamt'!X49*$AI$8</f>
        <v>0</v>
      </c>
      <c r="Y57" s="99">
        <f>'Haustechnikvarianten gesamt'!Y49*$AI$8</f>
        <v>2710</v>
      </c>
      <c r="Z57" s="99">
        <f>'Haustechnikvarianten gesamt'!Z49*$AI$8</f>
        <v>2710</v>
      </c>
      <c r="AA57" s="99">
        <f>'Haustechnikvarianten gesamt'!AA49*$AI$8</f>
        <v>0</v>
      </c>
      <c r="AB57" s="99">
        <f>'Haustechnikvarianten gesamt'!AB49*$AI$8</f>
        <v>0</v>
      </c>
      <c r="AC57" s="99">
        <f>'Haustechnikvarianten gesamt'!AC49*$AI$8</f>
        <v>2360</v>
      </c>
      <c r="AD57" s="99">
        <f>'Haustechnikvarianten gesamt'!AD49*$AI$8</f>
        <v>2360</v>
      </c>
      <c r="AE57" s="99">
        <f>'Haustechnikvarianten gesamt'!AE49*$AI$8</f>
        <v>2600</v>
      </c>
      <c r="AF57" s="99">
        <f>'Haustechnikvarianten gesamt'!AF49*$AI$8</f>
        <v>2600</v>
      </c>
      <c r="AG57" s="99">
        <f>'Haustechnikvarianten gesamt'!AG49*$AI$8</f>
        <v>3060</v>
      </c>
      <c r="AH57" s="99">
        <f>'Haustechnikvarianten gesamt'!AH49*$AI$8</f>
        <v>3060</v>
      </c>
    </row>
    <row r="58" spans="1:34" x14ac:dyDescent="0.2">
      <c r="A58" s="45" t="s">
        <v>133</v>
      </c>
      <c r="B58" s="99">
        <f>'Haustechnikvarianten gesamt'!B50</f>
        <v>0</v>
      </c>
      <c r="C58" s="99">
        <f>'Haustechnikvarianten gesamt'!C50</f>
        <v>0</v>
      </c>
      <c r="D58" s="99">
        <f>'Haustechnikvarianten gesamt'!D50</f>
        <v>0</v>
      </c>
      <c r="E58" s="99">
        <v>0</v>
      </c>
      <c r="F58" s="99">
        <f>'Haustechnikvarianten gesamt'!F50</f>
        <v>0</v>
      </c>
      <c r="G58" s="99">
        <f>'Haustechnikvarianten gesamt'!G50</f>
        <v>0</v>
      </c>
      <c r="H58" s="99">
        <f>'Haustechnikvarianten gesamt'!H50</f>
        <v>0</v>
      </c>
      <c r="I58" s="99">
        <f>MIN((0.8*$B$19),(0.9*I57),10*ROUND((2040/(6750*4000)*I57*$B$19)/10,0))</f>
        <v>2040</v>
      </c>
      <c r="J58" s="99">
        <f>MIN((0.8*$B$19),(0.9*J57),10*ROUND((2320/(6390*4000)*J57*$B$19)/10,0))</f>
        <v>2320</v>
      </c>
      <c r="K58" s="99">
        <f>'Haustechnikvarianten gesamt'!K50</f>
        <v>0</v>
      </c>
      <c r="L58" s="99">
        <f>'Haustechnikvarianten gesamt'!L50</f>
        <v>0</v>
      </c>
      <c r="M58" s="99">
        <f>'Haustechnikvarianten gesamt'!M50</f>
        <v>0</v>
      </c>
      <c r="N58" s="99">
        <f>'Haustechnikvarianten gesamt'!N50</f>
        <v>0</v>
      </c>
      <c r="O58" s="99">
        <f>'Haustechnikvarianten gesamt'!O50</f>
        <v>0</v>
      </c>
      <c r="P58" s="99">
        <f>'Haustechnikvarianten gesamt'!P50</f>
        <v>0</v>
      </c>
      <c r="Q58" s="99">
        <f>'Haustechnikvarianten gesamt'!Q50</f>
        <v>0</v>
      </c>
      <c r="R58" s="99">
        <f>'Haustechnikvarianten gesamt'!R50*$AI$8</f>
        <v>340</v>
      </c>
      <c r="S58" s="99">
        <f>'Haustechnikvarianten gesamt'!S50*$AI$8</f>
        <v>940</v>
      </c>
      <c r="T58" s="99">
        <f>'Haustechnikvarianten gesamt'!T50*$AI$8</f>
        <v>1880</v>
      </c>
      <c r="U58" s="99">
        <f>'Haustechnikvarianten gesamt'!U50*$AI$8</f>
        <v>0</v>
      </c>
      <c r="V58" s="99">
        <f>'Haustechnikvarianten gesamt'!V50*$AI$8</f>
        <v>0</v>
      </c>
      <c r="W58" s="99">
        <f>'Haustechnikvarianten gesamt'!W50*$AI$8</f>
        <v>0</v>
      </c>
      <c r="X58" s="99">
        <f>'Haustechnikvarianten gesamt'!X50*$AI$8</f>
        <v>0</v>
      </c>
      <c r="Y58" s="99">
        <f>'Haustechnikvarianten gesamt'!Y50*$AI$8</f>
        <v>810</v>
      </c>
      <c r="Z58" s="99">
        <f>'Haustechnikvarianten gesamt'!Z50*$AI$8</f>
        <v>1620</v>
      </c>
      <c r="AA58" s="99">
        <f>'Haustechnikvarianten gesamt'!AA50*$AI$8</f>
        <v>0</v>
      </c>
      <c r="AB58" s="99">
        <f>'Haustechnikvarianten gesamt'!AB50*$AI$8</f>
        <v>0</v>
      </c>
      <c r="AC58" s="99">
        <f>'Haustechnikvarianten gesamt'!AC50*$AI$8</f>
        <v>710</v>
      </c>
      <c r="AD58" s="99">
        <f>'Haustechnikvarianten gesamt'!AD50*$AI$8</f>
        <v>1420</v>
      </c>
      <c r="AE58" s="99">
        <f>'Haustechnikvarianten gesamt'!AE50*$AI$8</f>
        <v>780</v>
      </c>
      <c r="AF58" s="99">
        <f>'Haustechnikvarianten gesamt'!AF50*$AI$8</f>
        <v>1560</v>
      </c>
      <c r="AG58" s="99">
        <f>'Haustechnikvarianten gesamt'!AG50*$AI$8</f>
        <v>920</v>
      </c>
      <c r="AH58" s="99">
        <f>'Haustechnikvarianten gesamt'!AH50*$AI$8</f>
        <v>1830</v>
      </c>
    </row>
    <row r="59" spans="1:34" x14ac:dyDescent="0.2">
      <c r="A59" s="45" t="s">
        <v>127</v>
      </c>
      <c r="B59" s="100">
        <f>10*ROUND(((B57-B58)*0.12+B58*$B$15/100)/10,0)</f>
        <v>0</v>
      </c>
      <c r="C59" s="100">
        <f t="shared" ref="C59:H59" si="49">10*ROUND(((C57-C58)*0.12+C58*$B$15/100)/10,0)</f>
        <v>0</v>
      </c>
      <c r="D59" s="100">
        <f t="shared" si="49"/>
        <v>0</v>
      </c>
      <c r="E59" s="100">
        <f t="shared" si="49"/>
        <v>0</v>
      </c>
      <c r="F59" s="100">
        <f t="shared" si="49"/>
        <v>0</v>
      </c>
      <c r="G59" s="100">
        <f t="shared" si="49"/>
        <v>0</v>
      </c>
      <c r="H59" s="100">
        <f t="shared" si="49"/>
        <v>0</v>
      </c>
      <c r="I59" s="100">
        <f>10*ROUND(((I57-I58)*0.04+I58*$B$15/100)/10,0)</f>
        <v>1000</v>
      </c>
      <c r="J59" s="100">
        <f>10*ROUND(((J57-J58)*0.04+J58*$B$15/100)/10,0)</f>
        <v>1090</v>
      </c>
      <c r="K59" s="100">
        <f t="shared" ref="K59" si="50">10*ROUND(((K57-K58)*0.12+K58*$B$15/100)/10,0)</f>
        <v>0</v>
      </c>
      <c r="L59" s="100">
        <f t="shared" ref="L59" si="51">10*ROUND(((L57-L58)*0.12+L58*$B$15/100)/10,0)</f>
        <v>0</v>
      </c>
      <c r="M59" s="100">
        <f t="shared" ref="M59" si="52">10*ROUND(((M57-M58)*0.12+M58*$B$15/100)/10,0)</f>
        <v>0</v>
      </c>
      <c r="N59" s="100">
        <f t="shared" ref="N59" si="53">10*ROUND(((N57-N58)*0.12+N58*$B$15/100)/10,0)</f>
        <v>0</v>
      </c>
      <c r="O59" s="100">
        <f t="shared" ref="O59" si="54">10*ROUND(((O57-O58)*0.12+O58*$B$15/100)/10,0)</f>
        <v>0</v>
      </c>
      <c r="P59" s="100">
        <f t="shared" ref="P59" si="55">10*ROUND(((P57-P58)*0.12+P58*$B$15/100)/10,0)</f>
        <v>0</v>
      </c>
      <c r="Q59" s="100">
        <f t="shared" ref="Q59" si="56">10*ROUND(((Q57-Q58)*0.12+Q58*$B$15/100)/10,0)</f>
        <v>0</v>
      </c>
      <c r="R59" s="100">
        <f>10*ROUND(((R57-R58)*$B$17/100+R58*$B$15/100)/10,0)</f>
        <v>200</v>
      </c>
      <c r="S59" s="100">
        <f t="shared" ref="S59:AH59" si="57">10*ROUND(((S57-S58)*$B$17/100+S58*$B$15/100)/10,0)</f>
        <v>560</v>
      </c>
      <c r="T59" s="100">
        <f t="shared" si="57"/>
        <v>850</v>
      </c>
      <c r="U59" s="100">
        <f t="shared" si="57"/>
        <v>0</v>
      </c>
      <c r="V59" s="100">
        <f t="shared" si="57"/>
        <v>0</v>
      </c>
      <c r="W59" s="100">
        <f t="shared" si="57"/>
        <v>0</v>
      </c>
      <c r="X59" s="100">
        <f t="shared" si="57"/>
        <v>0</v>
      </c>
      <c r="Y59" s="100">
        <f t="shared" si="57"/>
        <v>480</v>
      </c>
      <c r="Z59" s="100">
        <f t="shared" si="57"/>
        <v>740</v>
      </c>
      <c r="AA59" s="100">
        <f t="shared" si="57"/>
        <v>0</v>
      </c>
      <c r="AB59" s="100">
        <f t="shared" si="57"/>
        <v>0</v>
      </c>
      <c r="AC59" s="100">
        <f t="shared" si="57"/>
        <v>420</v>
      </c>
      <c r="AD59" s="100">
        <f t="shared" si="57"/>
        <v>650</v>
      </c>
      <c r="AE59" s="100">
        <f t="shared" si="57"/>
        <v>460</v>
      </c>
      <c r="AF59" s="100">
        <f t="shared" si="57"/>
        <v>710</v>
      </c>
      <c r="AG59" s="100">
        <f t="shared" si="57"/>
        <v>540</v>
      </c>
      <c r="AH59" s="100">
        <f t="shared" si="57"/>
        <v>830</v>
      </c>
    </row>
    <row r="60" spans="1:34" x14ac:dyDescent="0.2">
      <c r="A60" s="25" t="s">
        <v>128</v>
      </c>
      <c r="B60" s="96">
        <v>200</v>
      </c>
      <c r="C60" s="96">
        <v>200</v>
      </c>
      <c r="D60" s="96">
        <v>200</v>
      </c>
      <c r="E60" s="96">
        <v>200</v>
      </c>
      <c r="F60" s="96">
        <v>200</v>
      </c>
      <c r="G60" s="96">
        <v>400</v>
      </c>
      <c r="H60" s="96">
        <v>400</v>
      </c>
      <c r="I60" s="96">
        <v>400</v>
      </c>
      <c r="J60" s="96">
        <v>400</v>
      </c>
      <c r="K60" s="96">
        <v>0</v>
      </c>
      <c r="L60" s="96">
        <v>0</v>
      </c>
      <c r="M60" s="96">
        <v>50</v>
      </c>
      <c r="N60" s="96">
        <v>50</v>
      </c>
      <c r="O60" s="96">
        <v>50</v>
      </c>
      <c r="P60" s="96">
        <v>200</v>
      </c>
      <c r="Q60" s="96">
        <v>200</v>
      </c>
      <c r="R60" s="96">
        <v>350</v>
      </c>
      <c r="S60" s="96">
        <v>350</v>
      </c>
      <c r="T60" s="96">
        <v>480</v>
      </c>
      <c r="U60" s="96">
        <v>400</v>
      </c>
      <c r="V60" s="96">
        <v>400</v>
      </c>
      <c r="W60" s="96">
        <v>250</v>
      </c>
      <c r="X60" s="96">
        <v>250</v>
      </c>
      <c r="Y60" s="96">
        <v>400</v>
      </c>
      <c r="Z60" s="96">
        <v>530</v>
      </c>
      <c r="AA60" s="96">
        <v>450</v>
      </c>
      <c r="AB60" s="96">
        <v>100</v>
      </c>
      <c r="AC60" s="96">
        <v>200</v>
      </c>
      <c r="AD60" s="96">
        <v>330</v>
      </c>
      <c r="AE60" s="96">
        <v>200</v>
      </c>
      <c r="AF60" s="96">
        <v>330</v>
      </c>
      <c r="AG60" s="96">
        <v>250</v>
      </c>
      <c r="AH60" s="96">
        <v>380</v>
      </c>
    </row>
    <row r="61" spans="1:34" x14ac:dyDescent="0.2">
      <c r="A61" s="50" t="s">
        <v>129</v>
      </c>
      <c r="B61" s="51">
        <f>B56+B60-B59</f>
        <v>5440</v>
      </c>
      <c r="C61" s="51">
        <f>C56+C60-C59</f>
        <v>4420</v>
      </c>
      <c r="D61" s="51">
        <f t="shared" ref="D61:AH61" si="58">D56+D60-D59</f>
        <v>3930</v>
      </c>
      <c r="E61" s="51">
        <f t="shared" si="58"/>
        <v>3430</v>
      </c>
      <c r="F61" s="51">
        <f t="shared" si="58"/>
        <v>3200</v>
      </c>
      <c r="G61" s="51">
        <f t="shared" si="58"/>
        <v>2460</v>
      </c>
      <c r="H61" s="51">
        <f t="shared" si="58"/>
        <v>2170</v>
      </c>
      <c r="I61" s="51">
        <f t="shared" si="58"/>
        <v>3240</v>
      </c>
      <c r="J61" s="51">
        <f t="shared" si="58"/>
        <v>2860</v>
      </c>
      <c r="K61" s="51">
        <f t="shared" si="58"/>
        <v>2560</v>
      </c>
      <c r="L61" s="51">
        <f t="shared" si="58"/>
        <v>2560</v>
      </c>
      <c r="M61" s="51">
        <f t="shared" si="58"/>
        <v>2020</v>
      </c>
      <c r="N61" s="51">
        <f t="shared" si="58"/>
        <v>3380</v>
      </c>
      <c r="O61" s="51">
        <f t="shared" si="58"/>
        <v>2130</v>
      </c>
      <c r="P61" s="51">
        <f>P56+P60-P59</f>
        <v>3020</v>
      </c>
      <c r="Q61" s="51">
        <f>Q56+Q60-Q59</f>
        <v>2870</v>
      </c>
      <c r="R61" s="51">
        <f>R56+R60-R59</f>
        <v>3090</v>
      </c>
      <c r="S61" s="51">
        <f>S56+S60-S59</f>
        <v>2280</v>
      </c>
      <c r="T61" s="51">
        <f t="shared" si="58"/>
        <v>2120</v>
      </c>
      <c r="U61" s="51">
        <f t="shared" si="58"/>
        <v>2190</v>
      </c>
      <c r="V61" s="51">
        <f t="shared" si="58"/>
        <v>1920</v>
      </c>
      <c r="W61" s="51">
        <f t="shared" si="58"/>
        <v>2740</v>
      </c>
      <c r="X61" s="51">
        <f t="shared" si="58"/>
        <v>2640</v>
      </c>
      <c r="Y61" s="51">
        <f t="shared" si="58"/>
        <v>2010</v>
      </c>
      <c r="Z61" s="51">
        <f t="shared" si="58"/>
        <v>1880</v>
      </c>
      <c r="AA61" s="51">
        <f t="shared" si="58"/>
        <v>2550</v>
      </c>
      <c r="AB61" s="51">
        <f t="shared" si="58"/>
        <v>1550</v>
      </c>
      <c r="AC61" s="51">
        <f t="shared" si="58"/>
        <v>3200</v>
      </c>
      <c r="AD61" s="51">
        <f t="shared" si="58"/>
        <v>3100</v>
      </c>
      <c r="AE61" s="51">
        <f t="shared" si="58"/>
        <v>1560</v>
      </c>
      <c r="AF61" s="51">
        <f t="shared" si="58"/>
        <v>1440</v>
      </c>
      <c r="AG61" s="51">
        <f t="shared" si="58"/>
        <v>880</v>
      </c>
      <c r="AH61" s="51">
        <f t="shared" si="58"/>
        <v>720</v>
      </c>
    </row>
    <row r="62" spans="1:34" x14ac:dyDescent="0.2">
      <c r="A62" s="36" t="s">
        <v>2</v>
      </c>
      <c r="B62" s="52">
        <v>0</v>
      </c>
      <c r="C62" s="52">
        <f>-C52-20*(C61-$B$61)</f>
        <v>19125</v>
      </c>
      <c r="D62" s="52">
        <f t="shared" ref="D62:AH62" si="59">-D52-20*(D61-$B$61)</f>
        <v>22255</v>
      </c>
      <c r="E62" s="52">
        <f t="shared" si="59"/>
        <v>32255</v>
      </c>
      <c r="F62" s="52">
        <f t="shared" si="59"/>
        <v>35355</v>
      </c>
      <c r="G62" s="52">
        <f t="shared" si="59"/>
        <v>42655</v>
      </c>
      <c r="H62" s="52">
        <f t="shared" si="59"/>
        <v>41455</v>
      </c>
      <c r="I62" s="52">
        <f t="shared" si="59"/>
        <v>14230</v>
      </c>
      <c r="J62" s="52">
        <f t="shared" si="59"/>
        <v>29405</v>
      </c>
      <c r="K62" s="52">
        <f t="shared" si="59"/>
        <v>58230</v>
      </c>
      <c r="L62" s="52">
        <f>-L52-20*(L61-$B$61)</f>
        <v>58230</v>
      </c>
      <c r="M62" s="52">
        <f>-M52-20*(M61-$B$61)</f>
        <v>54930</v>
      </c>
      <c r="N62" s="52">
        <f t="shared" si="59"/>
        <v>33430</v>
      </c>
      <c r="O62" s="52">
        <f t="shared" si="59"/>
        <v>48710</v>
      </c>
      <c r="P62" s="52">
        <f>-P52-20*(P61-$B$61)</f>
        <v>34480</v>
      </c>
      <c r="Q62" s="52">
        <f>-Q52-20*(Q61-$B$61)</f>
        <v>34480</v>
      </c>
      <c r="R62" s="52">
        <f>-R52-20*(R61-$B$61)</f>
        <v>27055</v>
      </c>
      <c r="S62" s="52">
        <f>-S52-20*(S61-$B$61)</f>
        <v>42255</v>
      </c>
      <c r="T62" s="52">
        <f t="shared" si="59"/>
        <v>40455</v>
      </c>
      <c r="U62" s="52">
        <f t="shared" si="59"/>
        <v>47080</v>
      </c>
      <c r="V62" s="52">
        <f t="shared" si="59"/>
        <v>46080</v>
      </c>
      <c r="W62" s="52">
        <f t="shared" si="59"/>
        <v>28380</v>
      </c>
      <c r="X62" s="52">
        <f t="shared" si="59"/>
        <v>29055</v>
      </c>
      <c r="Y62" s="52">
        <f t="shared" si="59"/>
        <v>31655</v>
      </c>
      <c r="Z62" s="52">
        <f t="shared" si="59"/>
        <v>29255</v>
      </c>
      <c r="AA62" s="52">
        <f t="shared" si="59"/>
        <v>31530</v>
      </c>
      <c r="AB62" s="52">
        <f t="shared" si="59"/>
        <v>52400</v>
      </c>
      <c r="AC62" s="52">
        <f t="shared" si="59"/>
        <v>27030</v>
      </c>
      <c r="AD62" s="52">
        <f t="shared" si="59"/>
        <v>24030</v>
      </c>
      <c r="AE62" s="52">
        <f t="shared" si="59"/>
        <v>50110</v>
      </c>
      <c r="AF62" s="52">
        <f t="shared" si="59"/>
        <v>47510</v>
      </c>
      <c r="AG62" s="52">
        <f t="shared" si="59"/>
        <v>55800</v>
      </c>
      <c r="AH62" s="52">
        <f t="shared" si="59"/>
        <v>54000</v>
      </c>
    </row>
    <row r="63" spans="1:34" x14ac:dyDescent="0.2">
      <c r="A63" s="36" t="s">
        <v>54</v>
      </c>
      <c r="B63" s="101"/>
      <c r="C63" s="54">
        <f>IF((($B$61-C61)=0),IF((C52&lt;=0),"sofort","nie"),IF((C52/($B$61-C61)&lt;=0),IF((C52&lt;=0),"sofort","nie"),C52/($B$61-C61)))</f>
        <v>1.25</v>
      </c>
      <c r="D63" s="54">
        <f t="shared" ref="D63:AH63" si="60">IF((($B$61-D61)=0),IF((D52&lt;=0),"sofort","nie"),IF((D52/($B$61-D61)&lt;=0),IF((D52&lt;=0),"sofort","nie"),D52/($B$61-D61)))</f>
        <v>5.2615894039735096</v>
      </c>
      <c r="E63" s="54">
        <f t="shared" si="60"/>
        <v>3.9527363184079602</v>
      </c>
      <c r="F63" s="54">
        <f t="shared" si="60"/>
        <v>4.2165178571428568</v>
      </c>
      <c r="G63" s="54">
        <f t="shared" si="60"/>
        <v>5.6862416107382554</v>
      </c>
      <c r="H63" s="54">
        <f t="shared" si="60"/>
        <v>7.3226299694189603</v>
      </c>
      <c r="I63" s="54">
        <f t="shared" si="60"/>
        <v>13.531818181818181</v>
      </c>
      <c r="J63" s="54">
        <f t="shared" si="60"/>
        <v>8.6027131782945734</v>
      </c>
      <c r="K63" s="54" t="str">
        <f t="shared" si="60"/>
        <v>sofort</v>
      </c>
      <c r="L63" s="54" t="str">
        <f t="shared" si="60"/>
        <v>sofort</v>
      </c>
      <c r="M63" s="54">
        <f t="shared" si="60"/>
        <v>3.9385964912280702</v>
      </c>
      <c r="N63" s="54">
        <f t="shared" si="60"/>
        <v>3.7718446601941746</v>
      </c>
      <c r="O63" s="54">
        <f t="shared" si="60"/>
        <v>5.2839879154078551</v>
      </c>
      <c r="P63" s="54">
        <f t="shared" si="60"/>
        <v>5.7520661157024797</v>
      </c>
      <c r="Q63" s="54">
        <f t="shared" si="60"/>
        <v>6.5836575875486378</v>
      </c>
      <c r="R63" s="54">
        <f t="shared" si="60"/>
        <v>8.487234042553192</v>
      </c>
      <c r="S63" s="54">
        <f t="shared" si="60"/>
        <v>6.6281645569620249</v>
      </c>
      <c r="T63" s="54">
        <f t="shared" si="60"/>
        <v>7.8147590361445785</v>
      </c>
      <c r="U63" s="54">
        <f t="shared" si="60"/>
        <v>5.5138461538461536</v>
      </c>
      <c r="V63" s="54">
        <f t="shared" si="60"/>
        <v>6.9090909090909092</v>
      </c>
      <c r="W63" s="54">
        <f t="shared" si="60"/>
        <v>9.4888888888888889</v>
      </c>
      <c r="X63" s="54">
        <f t="shared" si="60"/>
        <v>9.6232142857142851</v>
      </c>
      <c r="Y63" s="54">
        <f t="shared" si="60"/>
        <v>10.771137026239067</v>
      </c>
      <c r="Z63" s="54">
        <f t="shared" si="60"/>
        <v>11.782303370786517</v>
      </c>
      <c r="AA63" s="54">
        <f t="shared" si="60"/>
        <v>9.0899653979238746</v>
      </c>
      <c r="AB63" s="54">
        <f t="shared" si="60"/>
        <v>6.5295629820051415</v>
      </c>
      <c r="AC63" s="54">
        <f t="shared" si="60"/>
        <v>7.9330357142857144</v>
      </c>
      <c r="AD63" s="54">
        <f t="shared" si="60"/>
        <v>9.7307692307692299</v>
      </c>
      <c r="AE63" s="54">
        <f t="shared" si="60"/>
        <v>7.0850515463917523</v>
      </c>
      <c r="AF63" s="54">
        <f t="shared" si="60"/>
        <v>8.1225000000000005</v>
      </c>
      <c r="AG63" s="54">
        <f t="shared" si="60"/>
        <v>7.7631578947368425</v>
      </c>
      <c r="AH63" s="54">
        <f t="shared" si="60"/>
        <v>8.5593220338983045</v>
      </c>
    </row>
    <row r="64" spans="1:34" x14ac:dyDescent="0.2">
      <c r="A64" s="36" t="s">
        <v>55</v>
      </c>
      <c r="B64" s="55">
        <f>ROUND((B53*$I$9+B54*$I$16)/1000,1)</f>
        <v>11.4</v>
      </c>
      <c r="C64" s="55">
        <f t="shared" ref="C64:D64" si="61">ROUND((C53*$I$9+C54*$I$16)/1000,1)</f>
        <v>9.1999999999999993</v>
      </c>
      <c r="D64" s="55">
        <f t="shared" si="61"/>
        <v>8.1</v>
      </c>
      <c r="E64" s="55">
        <f>ROUND((E53*$I$10+E54*$I$16)/1000,1)</f>
        <v>6.3</v>
      </c>
      <c r="F64" s="55">
        <f>ROUND((F53*$I$10+(F54-F57)*$I$16)/1000,1)</f>
        <v>5.9</v>
      </c>
      <c r="G64" s="55">
        <f>ROUND((G53*$I$12+(G54-G57)*$I$16)/1000,1)</f>
        <v>1</v>
      </c>
      <c r="H64" s="55">
        <f>ROUND((H53*$I$13+H54*$I$16)/1000,1)</f>
        <v>1.3</v>
      </c>
      <c r="I64" s="55">
        <f t="shared" ref="I64" si="62">ROUND((I53*$I$10+(I54-I57)*$I$16)/1000,1)</f>
        <v>3.9</v>
      </c>
      <c r="J64" s="55">
        <f>ROUND((J53*$I$11+(J54-J57)*$I$16)/1000,1)</f>
        <v>0.9</v>
      </c>
      <c r="K64" s="55">
        <f>ROUND((K53*$I$14+K54*$I$16)/1000,1)</f>
        <v>4.8</v>
      </c>
      <c r="L64" s="55">
        <f>ROUND((L53*$I$15+L54*$I$16)/1000,1)</f>
        <v>1.7</v>
      </c>
      <c r="M64" s="55">
        <f>ROUND((M53*$I$16+M54*$I$16)/1000,1)</f>
        <v>3.6</v>
      </c>
      <c r="N64" s="55">
        <f t="shared" ref="N64:O64" si="63">ROUND((N53*$I$16+N54*$I$16)/1000,1)</f>
        <v>6.1</v>
      </c>
      <c r="O64" s="55">
        <f t="shared" si="63"/>
        <v>3.8</v>
      </c>
      <c r="P64" s="55">
        <f>ROUND((P53*$I$10+P54*$I$16)/1000,1)</f>
        <v>5.5</v>
      </c>
      <c r="Q64" s="55">
        <f>ROUND((Q53*$I$10+Q54*$I$16)/1000,1)</f>
        <v>5.2</v>
      </c>
      <c r="R64" s="55">
        <f>ROUND((R53*$I$10+(R54-R57)*$I$16)/1000,1)</f>
        <v>4.9000000000000004</v>
      </c>
      <c r="S64" s="55">
        <f>ROUND((S53*$I$10+(S54-S57)*$I$16)/1000,1)</f>
        <v>3.2</v>
      </c>
      <c r="T64" s="55">
        <f>ROUND((T53*$I$10+(T54-T57)*$I$16)/1000,1)</f>
        <v>3.2</v>
      </c>
      <c r="U64" s="55">
        <f>ROUND((U53*$I$12+U54*$I$16)/1000,1)</f>
        <v>0.9</v>
      </c>
      <c r="V64" s="55">
        <f>ROUND((V53*$I$13+V54*$I$16)/1000,1)</f>
        <v>1.1000000000000001</v>
      </c>
      <c r="W64" s="55">
        <f t="shared" ref="W64" si="64">ROUND((W53*$I$9+W54*$I$16)/1000,1)</f>
        <v>4.8</v>
      </c>
      <c r="X64" s="55">
        <f>ROUND((X53*$I$10+X54*$I$16)/1000,1)</f>
        <v>4.5</v>
      </c>
      <c r="Y64" s="55">
        <f>ROUND((Y53*$I$10+(Y54-Y57)*$I$16)/1000,1)</f>
        <v>1.8</v>
      </c>
      <c r="Z64" s="55">
        <f>ROUND((Z53*$I$10+(Z54-Z57)*$I$16)/1000,1)</f>
        <v>1.8</v>
      </c>
      <c r="AA64" s="55">
        <f>ROUND((AA53*$I$13+(AA54-AA57)*$I$16)/1000,1)</f>
        <v>3.5</v>
      </c>
      <c r="AB64" s="55">
        <f>ROUND((AB53*$I$16+(AB54-AB57)*$I$16)/1000,1)</f>
        <v>2.6</v>
      </c>
      <c r="AC64" s="55">
        <f t="shared" ref="AC64:AH64" si="65">ROUND((AC53*$I$16+(AC54-AC57)*$I$16)/1000,1)</f>
        <v>3.5</v>
      </c>
      <c r="AD64" s="55">
        <f t="shared" si="65"/>
        <v>3.5</v>
      </c>
      <c r="AE64" s="55">
        <f t="shared" si="65"/>
        <v>1.1000000000000001</v>
      </c>
      <c r="AF64" s="55">
        <f t="shared" si="65"/>
        <v>1.1000000000000001</v>
      </c>
      <c r="AG64" s="55">
        <f t="shared" si="65"/>
        <v>-0.1</v>
      </c>
      <c r="AH64" s="55">
        <f t="shared" si="65"/>
        <v>-0.1</v>
      </c>
    </row>
    <row r="65" spans="1:34" x14ac:dyDescent="0.2">
      <c r="A65" s="36" t="s">
        <v>3</v>
      </c>
      <c r="B65" s="56">
        <f>IF(($B$18-B55)/$B$18&lt;0,0,($B$18-B55)/$B$18)</f>
        <v>0</v>
      </c>
      <c r="C65" s="56">
        <f t="shared" ref="C65:AH65" si="66">IF(($B$18-C55)/$B$18&lt;0,0,($B$18-C55)/$B$18)</f>
        <v>0</v>
      </c>
      <c r="D65" s="56">
        <f t="shared" si="66"/>
        <v>0</v>
      </c>
      <c r="E65" s="56">
        <f t="shared" si="66"/>
        <v>0</v>
      </c>
      <c r="F65" s="56">
        <f t="shared" si="66"/>
        <v>0</v>
      </c>
      <c r="G65" s="56">
        <f t="shared" si="66"/>
        <v>0</v>
      </c>
      <c r="H65" s="56">
        <f t="shared" si="66"/>
        <v>0</v>
      </c>
      <c r="I65" s="56">
        <f t="shared" si="66"/>
        <v>0</v>
      </c>
      <c r="J65" s="56">
        <f t="shared" si="66"/>
        <v>0</v>
      </c>
      <c r="K65" s="56">
        <f t="shared" si="66"/>
        <v>0</v>
      </c>
      <c r="L65" s="56">
        <f t="shared" si="66"/>
        <v>0</v>
      </c>
      <c r="M65" s="56">
        <f t="shared" si="66"/>
        <v>0.68179575727676367</v>
      </c>
      <c r="N65" s="56">
        <f t="shared" si="66"/>
        <v>0.45929945732609767</v>
      </c>
      <c r="O65" s="56">
        <f t="shared" si="66"/>
        <v>0.66699555994079918</v>
      </c>
      <c r="P65" s="56">
        <f t="shared" si="66"/>
        <v>0</v>
      </c>
      <c r="Q65" s="56">
        <f t="shared" si="66"/>
        <v>0</v>
      </c>
      <c r="R65" s="56">
        <f t="shared" si="66"/>
        <v>0</v>
      </c>
      <c r="S65" s="56">
        <f t="shared" si="66"/>
        <v>2.4666995559940799E-3</v>
      </c>
      <c r="T65" s="56">
        <f t="shared" si="66"/>
        <v>2.4666995559940799E-3</v>
      </c>
      <c r="U65" s="56">
        <f t="shared" si="66"/>
        <v>0</v>
      </c>
      <c r="V65" s="56">
        <f t="shared" si="66"/>
        <v>0</v>
      </c>
      <c r="W65" s="56">
        <f t="shared" si="66"/>
        <v>0.46817957572767638</v>
      </c>
      <c r="X65" s="56">
        <f t="shared" si="66"/>
        <v>0.46817957572767638</v>
      </c>
      <c r="Y65" s="56">
        <f t="shared" si="66"/>
        <v>0.57276763690182531</v>
      </c>
      <c r="Z65" s="56">
        <f t="shared" si="66"/>
        <v>0.57276763690182531</v>
      </c>
      <c r="AA65" s="56">
        <f t="shared" si="66"/>
        <v>0.46817957572767638</v>
      </c>
      <c r="AB65" s="56">
        <f t="shared" si="66"/>
        <v>0.7701036013813517</v>
      </c>
      <c r="AC65" s="56">
        <f t="shared" si="66"/>
        <v>0.57868771583621115</v>
      </c>
      <c r="AD65" s="56">
        <f t="shared" si="66"/>
        <v>0.57868771583621115</v>
      </c>
      <c r="AE65" s="56">
        <f t="shared" si="66"/>
        <v>0.7750370004933399</v>
      </c>
      <c r="AF65" s="56">
        <f t="shared" si="66"/>
        <v>0.7750370004933399</v>
      </c>
      <c r="AG65" s="56">
        <f t="shared" si="66"/>
        <v>0.85545140601874692</v>
      </c>
      <c r="AH65" s="56">
        <f t="shared" si="66"/>
        <v>0.85545140601874692</v>
      </c>
    </row>
    <row r="66" spans="1:34" x14ac:dyDescent="0.2">
      <c r="A66" s="36" t="s">
        <v>5</v>
      </c>
      <c r="B66" s="56">
        <f t="shared" ref="B66:AH66" si="67">B58/$B$19</f>
        <v>0</v>
      </c>
      <c r="C66" s="56">
        <f t="shared" si="67"/>
        <v>0</v>
      </c>
      <c r="D66" s="56">
        <f t="shared" si="67"/>
        <v>0</v>
      </c>
      <c r="E66" s="56">
        <f t="shared" si="67"/>
        <v>0</v>
      </c>
      <c r="F66" s="56">
        <f t="shared" si="67"/>
        <v>0</v>
      </c>
      <c r="G66" s="56">
        <f t="shared" si="67"/>
        <v>0</v>
      </c>
      <c r="H66" s="56">
        <f t="shared" si="67"/>
        <v>0</v>
      </c>
      <c r="I66" s="56">
        <f t="shared" si="67"/>
        <v>0.51</v>
      </c>
      <c r="J66" s="56">
        <f t="shared" si="67"/>
        <v>0.57999999999999996</v>
      </c>
      <c r="K66" s="56">
        <f t="shared" si="67"/>
        <v>0</v>
      </c>
      <c r="L66" s="56">
        <f t="shared" si="67"/>
        <v>0</v>
      </c>
      <c r="M66" s="56">
        <f t="shared" si="67"/>
        <v>0</v>
      </c>
      <c r="N66" s="56">
        <f t="shared" si="67"/>
        <v>0</v>
      </c>
      <c r="O66" s="56">
        <f t="shared" si="67"/>
        <v>0</v>
      </c>
      <c r="P66" s="56">
        <f t="shared" si="67"/>
        <v>0</v>
      </c>
      <c r="Q66" s="56">
        <f t="shared" si="67"/>
        <v>0</v>
      </c>
      <c r="R66" s="56">
        <f t="shared" si="67"/>
        <v>8.5000000000000006E-2</v>
      </c>
      <c r="S66" s="56">
        <f t="shared" si="67"/>
        <v>0.23499999999999999</v>
      </c>
      <c r="T66" s="56">
        <f t="shared" si="67"/>
        <v>0.47</v>
      </c>
      <c r="U66" s="56">
        <f t="shared" si="67"/>
        <v>0</v>
      </c>
      <c r="V66" s="56">
        <f t="shared" si="67"/>
        <v>0</v>
      </c>
      <c r="W66" s="56">
        <f t="shared" si="67"/>
        <v>0</v>
      </c>
      <c r="X66" s="56">
        <f t="shared" si="67"/>
        <v>0</v>
      </c>
      <c r="Y66" s="56">
        <f t="shared" si="67"/>
        <v>0.20250000000000001</v>
      </c>
      <c r="Z66" s="56">
        <f t="shared" si="67"/>
        <v>0.40500000000000003</v>
      </c>
      <c r="AA66" s="56">
        <f t="shared" si="67"/>
        <v>0</v>
      </c>
      <c r="AB66" s="56">
        <f t="shared" si="67"/>
        <v>0</v>
      </c>
      <c r="AC66" s="56">
        <f t="shared" si="67"/>
        <v>0.17749999999999999</v>
      </c>
      <c r="AD66" s="56">
        <f t="shared" si="67"/>
        <v>0.35499999999999998</v>
      </c>
      <c r="AE66" s="56">
        <f t="shared" si="67"/>
        <v>0.19500000000000001</v>
      </c>
      <c r="AF66" s="56">
        <f t="shared" si="67"/>
        <v>0.39</v>
      </c>
      <c r="AG66" s="56">
        <f t="shared" si="67"/>
        <v>0.23</v>
      </c>
      <c r="AH66" s="56">
        <f t="shared" si="67"/>
        <v>0.45750000000000002</v>
      </c>
    </row>
    <row r="67" spans="1:34" x14ac:dyDescent="0.2">
      <c r="D67" s="6"/>
      <c r="E67" s="6"/>
      <c r="I67" s="3"/>
    </row>
    <row r="68" spans="1:34" x14ac:dyDescent="0.2">
      <c r="B68" s="70"/>
      <c r="C68" s="61" t="s">
        <v>136</v>
      </c>
      <c r="D68" s="61"/>
      <c r="E68" s="61"/>
      <c r="F68" s="71"/>
      <c r="G68" s="72" t="s">
        <v>137</v>
      </c>
      <c r="H68" s="61"/>
      <c r="I68" s="62"/>
    </row>
    <row r="69" spans="1:34" x14ac:dyDescent="0.2">
      <c r="B69" s="73"/>
      <c r="C69" t="s">
        <v>138</v>
      </c>
      <c r="F69" s="74"/>
      <c r="G69" t="s">
        <v>139</v>
      </c>
      <c r="I69" s="65"/>
    </row>
    <row r="70" spans="1:34" x14ac:dyDescent="0.2">
      <c r="B70" s="75"/>
      <c r="C70" t="s">
        <v>140</v>
      </c>
      <c r="F70" s="76"/>
      <c r="G70" t="s">
        <v>141</v>
      </c>
      <c r="I70" s="65"/>
      <c r="X70" t="s">
        <v>170</v>
      </c>
    </row>
    <row r="71" spans="1:34" x14ac:dyDescent="0.2">
      <c r="B71" s="77"/>
      <c r="C71" s="68" t="s">
        <v>142</v>
      </c>
      <c r="D71" s="68"/>
      <c r="E71" s="68"/>
      <c r="F71" s="68"/>
      <c r="G71" s="68"/>
      <c r="H71" s="68"/>
      <c r="I71" s="69"/>
    </row>
    <row r="73" spans="1:34" x14ac:dyDescent="0.2">
      <c r="B73" s="102"/>
      <c r="C73" s="60" t="s">
        <v>153</v>
      </c>
      <c r="D73" s="61"/>
      <c r="E73" s="61"/>
      <c r="F73" s="62"/>
    </row>
    <row r="74" spans="1:34" x14ac:dyDescent="0.2">
      <c r="B74" s="63" t="s">
        <v>147</v>
      </c>
      <c r="C74" s="64" t="s">
        <v>149</v>
      </c>
      <c r="F74" s="65"/>
    </row>
    <row r="75" spans="1:34" x14ac:dyDescent="0.2">
      <c r="B75" s="66" t="s">
        <v>148</v>
      </c>
      <c r="C75" s="67" t="s">
        <v>150</v>
      </c>
      <c r="D75" s="68"/>
      <c r="E75" s="68"/>
      <c r="F75" s="69"/>
    </row>
    <row r="76" spans="1:34" x14ac:dyDescent="0.2">
      <c r="H76" s="135"/>
    </row>
  </sheetData>
  <sheetProtection algorithmName="SHA-512" hashValue="Vg4BXZsIVC3rEQrSikYygUGFrlWEBppV4P7eoJcH4dBwEnOKKMoZ746M+JDVWQgs40kDQs2g7jWNChjqP3tR0Q==" saltValue="Y/y9Jrv2DVNtOlRDVaXeVA==" spinCount="100000" sheet="1" objects="1" scenarios="1" selectLockedCells="1"/>
  <conditionalFormatting sqref="B6">
    <cfRule type="expression" dxfId="23" priority="75" stopIfTrue="1">
      <formula>OR($B$18&lt;12000,$B$18&gt;28000)</formula>
    </cfRule>
  </conditionalFormatting>
  <conditionalFormatting sqref="B7">
    <cfRule type="cellIs" dxfId="22" priority="1" operator="greaterThan">
      <formula>1</formula>
    </cfRule>
    <cfRule type="cellIs" dxfId="21" priority="2" operator="lessThan">
      <formula>0.5</formula>
    </cfRule>
  </conditionalFormatting>
  <conditionalFormatting sqref="B8">
    <cfRule type="cellIs" dxfId="20" priority="74" stopIfTrue="1" operator="notBetween">
      <formula>600</formula>
      <formula>1200</formula>
    </cfRule>
  </conditionalFormatting>
  <conditionalFormatting sqref="B9">
    <cfRule type="cellIs" dxfId="19" priority="39" stopIfTrue="1" operator="notBetween">
      <formula>3</formula>
      <formula>100</formula>
    </cfRule>
  </conditionalFormatting>
  <conditionalFormatting sqref="B10:B11">
    <cfRule type="cellIs" dxfId="18" priority="7" operator="notBetween">
      <formula>3</formula>
      <formula>100</formula>
    </cfRule>
  </conditionalFormatting>
  <conditionalFormatting sqref="B12">
    <cfRule type="cellIs" dxfId="17" priority="73" stopIfTrue="1" operator="notBetween">
      <formula>10</formula>
      <formula>1000</formula>
    </cfRule>
  </conditionalFormatting>
  <conditionalFormatting sqref="B13">
    <cfRule type="cellIs" dxfId="16" priority="69" stopIfTrue="1" operator="notBetween">
      <formula>150</formula>
      <formula>1000</formula>
    </cfRule>
  </conditionalFormatting>
  <conditionalFormatting sqref="B14">
    <cfRule type="cellIs" dxfId="15" priority="68" stopIfTrue="1" operator="notBetween">
      <formula>5</formula>
      <formula>100</formula>
    </cfRule>
  </conditionalFormatting>
  <conditionalFormatting sqref="B15">
    <cfRule type="cellIs" dxfId="14" priority="72" stopIfTrue="1" operator="notBetween">
      <formula>20</formula>
      <formula>200</formula>
    </cfRule>
  </conditionalFormatting>
  <conditionalFormatting sqref="B16:B17">
    <cfRule type="cellIs" dxfId="13" priority="71" stopIfTrue="1" operator="notBetween">
      <formula>4</formula>
      <formula>200</formula>
    </cfRule>
  </conditionalFormatting>
  <conditionalFormatting sqref="B19">
    <cfRule type="cellIs" dxfId="12" priority="70" stopIfTrue="1" operator="notBetween">
      <formula>1000</formula>
      <formula>10000</formula>
    </cfRule>
  </conditionalFormatting>
  <conditionalFormatting sqref="B73">
    <cfRule type="cellIs" dxfId="11" priority="5" stopIfTrue="1" operator="notBetween">
      <formula>60</formula>
      <formula>140</formula>
    </cfRule>
  </conditionalFormatting>
  <conditionalFormatting sqref="B52:AH52">
    <cfRule type="cellIs" dxfId="10" priority="10" operator="lessThan">
      <formula>0</formula>
    </cfRule>
    <cfRule type="cellIs" dxfId="9" priority="11" stopIfTrue="1" operator="lessThanOrEqual">
      <formula>5000</formula>
    </cfRule>
  </conditionalFormatting>
  <conditionalFormatting sqref="B61:AH61">
    <cfRule type="cellIs" dxfId="8" priority="21" operator="lessThanOrEqual">
      <formula>1500</formula>
    </cfRule>
    <cfRule type="cellIs" dxfId="7" priority="22" operator="greaterThan">
      <formula>$B$61</formula>
    </cfRule>
  </conditionalFormatting>
  <conditionalFormatting sqref="B62:AH62">
    <cfRule type="cellIs" dxfId="6" priority="32" stopIfTrue="1" operator="greaterThanOrEqual">
      <formula>5000</formula>
    </cfRule>
  </conditionalFormatting>
  <conditionalFormatting sqref="B64:AH64">
    <cfRule type="cellIs" dxfId="5" priority="17" operator="lessThanOrEqual">
      <formula>2</formula>
    </cfRule>
    <cfRule type="cellIs" dxfId="4" priority="18" operator="greaterThan">
      <formula>$B$64</formula>
    </cfRule>
  </conditionalFormatting>
  <conditionalFormatting sqref="B65:AH65">
    <cfRule type="cellIs" dxfId="3" priority="24" stopIfTrue="1" operator="greaterThanOrEqual">
      <formula>0.5</formula>
    </cfRule>
  </conditionalFormatting>
  <conditionalFormatting sqref="B66:AH66">
    <cfRule type="cellIs" dxfId="2" priority="23" stopIfTrue="1" operator="greaterThanOrEqual">
      <formula>0.5</formula>
    </cfRule>
  </conditionalFormatting>
  <conditionalFormatting sqref="C63:AH63">
    <cfRule type="expression" dxfId="1" priority="3">
      <formula>OR(IF(C$52&gt;0,C$63&lt;=10,C$63&gt;30),C$62="sofort")</formula>
    </cfRule>
    <cfRule type="expression" dxfId="0" priority="4" stopIfTrue="1">
      <formula>C$52&lt;0</formula>
    </cfRule>
  </conditionalFormatting>
  <pageMargins left="0.39370078740157483" right="0.39370078740157483" top="0.98425196850393704" bottom="0.98425196850393704" header="0.51181102362204722" footer="0.51181102362204722"/>
  <pageSetup paperSize="9" scale="43" fitToWidth="2"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
  <sheetViews>
    <sheetView workbookViewId="0"/>
  </sheetViews>
  <sheetFormatPr baseColWidth="10" defaultRowHeight="12.75" x14ac:dyDescent="0.2"/>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
  <sheetViews>
    <sheetView workbookViewId="0"/>
  </sheetViews>
  <sheetFormatPr baseColWidth="10" defaultRowHeight="12.75" x14ac:dyDescent="0.2"/>
  <sheetData/>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
  <sheetViews>
    <sheetView workbookViewId="0"/>
  </sheetViews>
  <sheetFormatPr baseColWidth="10" defaultRowHeight="12.75" x14ac:dyDescent="0.2"/>
  <sheetData/>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Haustechnikvarianten gesamt</vt:lpstr>
      <vt:lpstr>Haustechnikvarianten berechnen</vt:lpstr>
      <vt:lpstr>Tabelle1</vt:lpstr>
      <vt:lpstr>Tabelle2</vt:lpstr>
      <vt:lpstr>Tabelle3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family</dc:creator>
  <cp:lastModifiedBy>Johannes Spruth</cp:lastModifiedBy>
  <cp:lastPrinted>2024-01-06T11:10:24Z</cp:lastPrinted>
  <dcterms:created xsi:type="dcterms:W3CDTF">2017-07-13T22:33:43Z</dcterms:created>
  <dcterms:modified xsi:type="dcterms:W3CDTF">2024-01-07T16:06:04Z</dcterms:modified>
</cp:coreProperties>
</file>