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atensammlung\Kleine Festplatte\Johannes\Bücher\Heizung und WW\interaktive Tabellen\"/>
    </mc:Choice>
  </mc:AlternateContent>
  <xr:revisionPtr revIDLastSave="0" documentId="13_ncr:1_{390A6BDF-F45D-4211-A5BD-5C8DAF6FCEDD}" xr6:coauthVersionLast="47" xr6:coauthVersionMax="47" xr10:uidLastSave="{00000000-0000-0000-0000-000000000000}"/>
  <workbookProtection workbookAlgorithmName="SHA-512" workbookHashValue="oSio9HvW4XLsPTemdpzTC5UEAuI0xkr0LR3Tctn3K6SxUqbUwOKHqQa67pFnZhh3SEY/+37gC+hwSXI5cIbtTw==" workbookSaltValue="lutD5w1eOZJ0crNkGv4evw==" workbookSpinCount="100000" lockStructure="1"/>
  <bookViews>
    <workbookView xWindow="-120" yWindow="-120" windowWidth="19440" windowHeight="15000" tabRatio="602" xr2:uid="{00000000-000D-0000-FFFF-FFFF00000000}"/>
  </bookViews>
  <sheets>
    <sheet name="Haustechnikvarianten gesamt" sheetId="1" r:id="rId1"/>
    <sheet name="Haustechnikvarianten berechnen" sheetId="4" r:id="rId2"/>
  </sheets>
  <definedNames>
    <definedName name="_xlnm.Print_Area" localSheetId="0">'Haustechnikvarianten gesamt'!$A$1:$AD$66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4" l="1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C54" i="4"/>
  <c r="B47" i="4"/>
  <c r="D52" i="1" l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C52" i="1"/>
  <c r="B45" i="1"/>
  <c r="D11" i="4"/>
  <c r="D10" i="4"/>
  <c r="D9" i="4"/>
  <c r="D8" i="4"/>
  <c r="D16" i="4"/>
  <c r="D13" i="4"/>
  <c r="D12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B41" i="4"/>
  <c r="V57" i="4" l="1"/>
  <c r="V37" i="4"/>
  <c r="V42" i="4" s="1"/>
  <c r="V50" i="4"/>
  <c r="G50" i="4"/>
  <c r="F50" i="4"/>
  <c r="D14" i="4"/>
  <c r="AC48" i="1" l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F48" i="1" l="1"/>
  <c r="G48" i="1"/>
  <c r="V55" i="1" l="1"/>
  <c r="V53" i="1"/>
  <c r="V44" i="1" l="1"/>
  <c r="V54" i="1" s="1"/>
  <c r="V39" i="1"/>
  <c r="V36" i="1"/>
  <c r="V40" i="1" l="1"/>
  <c r="AC39" i="1"/>
  <c r="AB39" i="1"/>
  <c r="W39" i="1"/>
  <c r="T39" i="1"/>
  <c r="M36" i="1"/>
  <c r="K36" i="1"/>
  <c r="G36" i="1"/>
  <c r="E39" i="1"/>
  <c r="D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U39" i="1"/>
  <c r="X39" i="1"/>
  <c r="Y39" i="1"/>
  <c r="Z39" i="1"/>
  <c r="AA39" i="1"/>
  <c r="C39" i="1"/>
  <c r="D7" i="4" l="1"/>
  <c r="D6" i="4"/>
  <c r="C37" i="4"/>
  <c r="C42" i="4" s="1"/>
  <c r="D37" i="4"/>
  <c r="D42" i="4" s="1"/>
  <c r="E37" i="4"/>
  <c r="F37" i="4"/>
  <c r="G37" i="4"/>
  <c r="G42" i="4" s="1"/>
  <c r="H37" i="4"/>
  <c r="I37" i="4"/>
  <c r="I42" i="4" s="1"/>
  <c r="J37" i="4"/>
  <c r="J42" i="4" s="1"/>
  <c r="K37" i="4"/>
  <c r="K42" i="4" s="1"/>
  <c r="L37" i="4"/>
  <c r="M37" i="4"/>
  <c r="M42" i="4" s="1"/>
  <c r="N37" i="4"/>
  <c r="O37" i="4"/>
  <c r="O42" i="4" s="1"/>
  <c r="P37" i="4"/>
  <c r="Q37" i="4"/>
  <c r="Q42" i="4" s="1"/>
  <c r="R37" i="4"/>
  <c r="S37" i="4"/>
  <c r="S42" i="4" s="1"/>
  <c r="T37" i="4"/>
  <c r="U37" i="4"/>
  <c r="U42" i="4" s="1"/>
  <c r="W37" i="4"/>
  <c r="W42" i="4" s="1"/>
  <c r="X37" i="4"/>
  <c r="X42" i="4" s="1"/>
  <c r="Y37" i="4"/>
  <c r="Y42" i="4" s="1"/>
  <c r="Z37" i="4"/>
  <c r="Z42" i="4" s="1"/>
  <c r="AA37" i="4"/>
  <c r="AB37" i="4"/>
  <c r="AB42" i="4" s="1"/>
  <c r="AC37" i="4"/>
  <c r="E50" i="4"/>
  <c r="F42" i="4"/>
  <c r="F55" i="1"/>
  <c r="F53" i="1"/>
  <c r="F45" i="1"/>
  <c r="F50" i="1" s="1"/>
  <c r="F44" i="1"/>
  <c r="F54" i="1" s="1"/>
  <c r="F36" i="1"/>
  <c r="F40" i="1" s="1"/>
  <c r="E57" i="4"/>
  <c r="E42" i="4"/>
  <c r="D55" i="1"/>
  <c r="E55" i="1"/>
  <c r="E53" i="1"/>
  <c r="E44" i="1"/>
  <c r="E54" i="1" s="1"/>
  <c r="E36" i="1"/>
  <c r="E40" i="1" s="1"/>
  <c r="C49" i="4"/>
  <c r="D49" i="4"/>
  <c r="D57" i="4" s="1"/>
  <c r="H49" i="4"/>
  <c r="H57" i="4" s="1"/>
  <c r="I49" i="4"/>
  <c r="I57" i="4" s="1"/>
  <c r="J49" i="4"/>
  <c r="K49" i="4"/>
  <c r="K57" i="4" s="1"/>
  <c r="L49" i="4"/>
  <c r="L57" i="4" s="1"/>
  <c r="M49" i="4"/>
  <c r="B49" i="4"/>
  <c r="B57" i="4" s="1"/>
  <c r="E10" i="4"/>
  <c r="E9" i="4"/>
  <c r="C48" i="4"/>
  <c r="D48" i="4"/>
  <c r="H48" i="4"/>
  <c r="I48" i="4"/>
  <c r="J48" i="4"/>
  <c r="K48" i="4"/>
  <c r="L48" i="4"/>
  <c r="M48" i="4"/>
  <c r="T48" i="4"/>
  <c r="U48" i="4"/>
  <c r="W48" i="4"/>
  <c r="B48" i="4"/>
  <c r="B50" i="4" s="1"/>
  <c r="J53" i="1"/>
  <c r="U53" i="1"/>
  <c r="AA45" i="1"/>
  <c r="AA50" i="1" s="1"/>
  <c r="S45" i="1"/>
  <c r="S50" i="1" s="1"/>
  <c r="B37" i="4"/>
  <c r="B42" i="4" s="1"/>
  <c r="V43" i="4" s="1"/>
  <c r="Y53" i="1"/>
  <c r="Z53" i="1"/>
  <c r="AA53" i="1"/>
  <c r="AB53" i="1"/>
  <c r="AC53" i="1"/>
  <c r="X53" i="1"/>
  <c r="W53" i="1"/>
  <c r="T53" i="1"/>
  <c r="Q53" i="1"/>
  <c r="N53" i="1"/>
  <c r="L53" i="1"/>
  <c r="K53" i="1"/>
  <c r="H53" i="1"/>
  <c r="D53" i="1"/>
  <c r="B53" i="1"/>
  <c r="AC44" i="1"/>
  <c r="AC54" i="1" s="1"/>
  <c r="AB44" i="1"/>
  <c r="AB54" i="1" s="1"/>
  <c r="AB45" i="1"/>
  <c r="AB50" i="1" s="1"/>
  <c r="AA44" i="1"/>
  <c r="AA54" i="1" s="1"/>
  <c r="Z44" i="1"/>
  <c r="Z54" i="1" s="1"/>
  <c r="Y44" i="1"/>
  <c r="Y54" i="1" s="1"/>
  <c r="X44" i="1"/>
  <c r="X54" i="1" s="1"/>
  <c r="W44" i="1"/>
  <c r="W54" i="1" s="1"/>
  <c r="U44" i="1"/>
  <c r="U54" i="1" s="1"/>
  <c r="T44" i="1"/>
  <c r="T54" i="1" s="1"/>
  <c r="R44" i="1"/>
  <c r="R54" i="1" s="1"/>
  <c r="S44" i="1"/>
  <c r="S54" i="1" s="1"/>
  <c r="R45" i="1"/>
  <c r="R50" i="1" s="1"/>
  <c r="Q44" i="1"/>
  <c r="Q54" i="1" s="1"/>
  <c r="P44" i="1"/>
  <c r="P54" i="1" s="1"/>
  <c r="O44" i="1"/>
  <c r="O54" i="1" s="1"/>
  <c r="N45" i="1"/>
  <c r="N50" i="1" s="1"/>
  <c r="N44" i="1"/>
  <c r="N54" i="1" s="1"/>
  <c r="M44" i="1"/>
  <c r="M54" i="1" s="1"/>
  <c r="L44" i="1"/>
  <c r="L54" i="1" s="1"/>
  <c r="K44" i="1"/>
  <c r="K54" i="1" s="1"/>
  <c r="J44" i="1"/>
  <c r="J54" i="1" s="1"/>
  <c r="J45" i="1"/>
  <c r="J50" i="1" s="1"/>
  <c r="I44" i="1"/>
  <c r="I54" i="1" s="1"/>
  <c r="I45" i="1"/>
  <c r="I50" i="1" s="1"/>
  <c r="H45" i="1"/>
  <c r="H50" i="1" s="1"/>
  <c r="H44" i="1"/>
  <c r="H54" i="1" s="1"/>
  <c r="G45" i="1"/>
  <c r="G50" i="1" s="1"/>
  <c r="G44" i="1"/>
  <c r="G54" i="1" s="1"/>
  <c r="F9" i="1"/>
  <c r="F8" i="1"/>
  <c r="T45" i="1" s="1"/>
  <c r="T50" i="1" s="1"/>
  <c r="D44" i="1"/>
  <c r="D54" i="1" s="1"/>
  <c r="C44" i="1"/>
  <c r="C54" i="1" s="1"/>
  <c r="B44" i="1"/>
  <c r="B54" i="1" s="1"/>
  <c r="AD6" i="4"/>
  <c r="AD16" i="4"/>
  <c r="AD7" i="4"/>
  <c r="O49" i="4" s="1"/>
  <c r="O57" i="4" s="1"/>
  <c r="AC42" i="4"/>
  <c r="AA42" i="4"/>
  <c r="T42" i="4"/>
  <c r="R42" i="4"/>
  <c r="P42" i="4"/>
  <c r="N42" i="4"/>
  <c r="L42" i="4"/>
  <c r="H42" i="4"/>
  <c r="B36" i="1"/>
  <c r="B40" i="1" s="1"/>
  <c r="V41" i="1" s="1"/>
  <c r="C36" i="1"/>
  <c r="C40" i="1" s="1"/>
  <c r="D36" i="1"/>
  <c r="D40" i="1" s="1"/>
  <c r="D41" i="1" s="1"/>
  <c r="G40" i="1"/>
  <c r="H36" i="1"/>
  <c r="H40" i="1" s="1"/>
  <c r="H41" i="1" s="1"/>
  <c r="I36" i="1"/>
  <c r="I40" i="1" s="1"/>
  <c r="J36" i="1"/>
  <c r="J40" i="1" s="1"/>
  <c r="J41" i="1" s="1"/>
  <c r="K40" i="1"/>
  <c r="L36" i="1"/>
  <c r="L40" i="1" s="1"/>
  <c r="L41" i="1" s="1"/>
  <c r="M40" i="1"/>
  <c r="N36" i="1"/>
  <c r="N40" i="1" s="1"/>
  <c r="N41" i="1" s="1"/>
  <c r="O36" i="1"/>
  <c r="O40" i="1" s="1"/>
  <c r="P36" i="1"/>
  <c r="P40" i="1" s="1"/>
  <c r="P41" i="1" s="1"/>
  <c r="Q36" i="1"/>
  <c r="Q40" i="1" s="1"/>
  <c r="R36" i="1"/>
  <c r="R40" i="1" s="1"/>
  <c r="R41" i="1" s="1"/>
  <c r="S36" i="1"/>
  <c r="S40" i="1" s="1"/>
  <c r="T36" i="1"/>
  <c r="T40" i="1" s="1"/>
  <c r="T41" i="1" s="1"/>
  <c r="U36" i="1"/>
  <c r="U40" i="1" s="1"/>
  <c r="W36" i="1"/>
  <c r="W40" i="1" s="1"/>
  <c r="W41" i="1" s="1"/>
  <c r="X36" i="1"/>
  <c r="X40" i="1" s="1"/>
  <c r="Y36" i="1"/>
  <c r="Y40" i="1" s="1"/>
  <c r="Y41" i="1" s="1"/>
  <c r="Z36" i="1"/>
  <c r="Z40" i="1" s="1"/>
  <c r="AA36" i="1"/>
  <c r="AA40" i="1" s="1"/>
  <c r="AA41" i="1" s="1"/>
  <c r="AB36" i="1"/>
  <c r="AB40" i="1" s="1"/>
  <c r="AC36" i="1"/>
  <c r="AC40" i="1" s="1"/>
  <c r="AC41" i="1" s="1"/>
  <c r="B55" i="1"/>
  <c r="C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W55" i="1"/>
  <c r="X55" i="1"/>
  <c r="Y55" i="1"/>
  <c r="Z55" i="1"/>
  <c r="AA55" i="1"/>
  <c r="AB55" i="1"/>
  <c r="AC55" i="1"/>
  <c r="G57" i="4"/>
  <c r="P45" i="1"/>
  <c r="P50" i="1" s="1"/>
  <c r="K45" i="1"/>
  <c r="K50" i="1" s="1"/>
  <c r="S53" i="1"/>
  <c r="B50" i="1"/>
  <c r="C45" i="1"/>
  <c r="C50" i="1" s="1"/>
  <c r="M45" i="1"/>
  <c r="M50" i="1" s="1"/>
  <c r="O45" i="1"/>
  <c r="O50" i="1" s="1"/>
  <c r="Q45" i="1"/>
  <c r="Q50" i="1" s="1"/>
  <c r="Y45" i="1"/>
  <c r="Y50" i="1" s="1"/>
  <c r="C53" i="1"/>
  <c r="G53" i="1"/>
  <c r="I53" i="1"/>
  <c r="M53" i="1"/>
  <c r="O53" i="1"/>
  <c r="R53" i="1"/>
  <c r="P53" i="1"/>
  <c r="U45" i="1"/>
  <c r="U50" i="1" s="1"/>
  <c r="X45" i="1"/>
  <c r="X50" i="1" s="1"/>
  <c r="W45" i="1"/>
  <c r="W50" i="1" s="1"/>
  <c r="Z45" i="1"/>
  <c r="Z50" i="1" s="1"/>
  <c r="AC45" i="1"/>
  <c r="AC50" i="1" s="1"/>
  <c r="L45" i="1"/>
  <c r="L50" i="1" s="1"/>
  <c r="Q49" i="4" l="1"/>
  <c r="Q57" i="4" s="1"/>
  <c r="F57" i="4"/>
  <c r="AC45" i="4"/>
  <c r="AA45" i="4"/>
  <c r="Y45" i="4"/>
  <c r="W45" i="4"/>
  <c r="U45" i="4"/>
  <c r="S45" i="4"/>
  <c r="Q45" i="4"/>
  <c r="O45" i="4"/>
  <c r="M45" i="4"/>
  <c r="K45" i="4"/>
  <c r="I45" i="4"/>
  <c r="G45" i="4"/>
  <c r="E45" i="4"/>
  <c r="C45" i="4"/>
  <c r="AB44" i="4"/>
  <c r="Z44" i="4"/>
  <c r="X44" i="4"/>
  <c r="V44" i="4"/>
  <c r="T44" i="4"/>
  <c r="R44" i="4"/>
  <c r="P44" i="4"/>
  <c r="N44" i="4"/>
  <c r="L44" i="4"/>
  <c r="J44" i="4"/>
  <c r="H44" i="4"/>
  <c r="F44" i="4"/>
  <c r="D44" i="4"/>
  <c r="AB45" i="4"/>
  <c r="Z45" i="4"/>
  <c r="X45" i="4"/>
  <c r="V45" i="4"/>
  <c r="T45" i="4"/>
  <c r="R45" i="4"/>
  <c r="P45" i="4"/>
  <c r="N45" i="4"/>
  <c r="L45" i="4"/>
  <c r="J45" i="4"/>
  <c r="H45" i="4"/>
  <c r="F45" i="4"/>
  <c r="D45" i="4"/>
  <c r="AC44" i="4"/>
  <c r="AA44" i="4"/>
  <c r="Y44" i="4"/>
  <c r="W44" i="4"/>
  <c r="U44" i="4"/>
  <c r="U55" i="4" s="1"/>
  <c r="S44" i="4"/>
  <c r="Q44" i="4"/>
  <c r="O44" i="4"/>
  <c r="O46" i="4" s="1"/>
  <c r="M44" i="4"/>
  <c r="K44" i="4"/>
  <c r="I44" i="4"/>
  <c r="G44" i="4"/>
  <c r="E44" i="4"/>
  <c r="C44" i="4"/>
  <c r="AD15" i="4"/>
  <c r="AF50" i="1"/>
  <c r="W55" i="4"/>
  <c r="S48" i="4"/>
  <c r="R49" i="4"/>
  <c r="R57" i="4" s="1"/>
  <c r="E45" i="1"/>
  <c r="E50" i="1" s="1"/>
  <c r="V45" i="1"/>
  <c r="V50" i="1" s="1"/>
  <c r="K55" i="4"/>
  <c r="AC46" i="4"/>
  <c r="P48" i="4"/>
  <c r="Q48" i="4"/>
  <c r="Q50" i="4" s="1"/>
  <c r="AA49" i="4"/>
  <c r="AA57" i="4" s="1"/>
  <c r="Z49" i="4"/>
  <c r="Z57" i="4" s="1"/>
  <c r="D45" i="1"/>
  <c r="D50" i="1" s="1"/>
  <c r="B46" i="4"/>
  <c r="G46" i="4"/>
  <c r="Z48" i="4"/>
  <c r="Z50" i="4" s="1"/>
  <c r="AA48" i="4"/>
  <c r="AA50" i="4" s="1"/>
  <c r="AC48" i="4"/>
  <c r="W49" i="4"/>
  <c r="W50" i="4" s="1"/>
  <c r="N49" i="4"/>
  <c r="N57" i="4" s="1"/>
  <c r="U49" i="4"/>
  <c r="L50" i="4"/>
  <c r="M50" i="4"/>
  <c r="B15" i="4"/>
  <c r="S47" i="4"/>
  <c r="AB48" i="4"/>
  <c r="X48" i="4"/>
  <c r="R48" i="4"/>
  <c r="O48" i="4"/>
  <c r="O50" i="4" s="1"/>
  <c r="Y48" i="4"/>
  <c r="N48" i="4"/>
  <c r="AC49" i="4"/>
  <c r="AC57" i="4" s="1"/>
  <c r="Y49" i="4"/>
  <c r="Y57" i="4" s="1"/>
  <c r="T49" i="4"/>
  <c r="T50" i="4" s="1"/>
  <c r="P49" i="4"/>
  <c r="P57" i="4" s="1"/>
  <c r="AB49" i="4"/>
  <c r="AB57" i="4" s="1"/>
  <c r="X49" i="4"/>
  <c r="X57" i="4" s="1"/>
  <c r="S49" i="4"/>
  <c r="S57" i="4" s="1"/>
  <c r="M57" i="4"/>
  <c r="G43" i="4"/>
  <c r="I43" i="4"/>
  <c r="K43" i="4"/>
  <c r="M43" i="4"/>
  <c r="O43" i="4"/>
  <c r="Q43" i="4"/>
  <c r="S43" i="4"/>
  <c r="U43" i="4"/>
  <c r="X43" i="4"/>
  <c r="Z43" i="4"/>
  <c r="AB43" i="4"/>
  <c r="K50" i="4"/>
  <c r="I50" i="4"/>
  <c r="D50" i="4"/>
  <c r="J50" i="4"/>
  <c r="D43" i="4"/>
  <c r="H43" i="4"/>
  <c r="J43" i="4"/>
  <c r="L43" i="4"/>
  <c r="N43" i="4"/>
  <c r="P43" i="4"/>
  <c r="R43" i="4"/>
  <c r="T43" i="4"/>
  <c r="W43" i="4"/>
  <c r="Y43" i="4"/>
  <c r="AA43" i="4"/>
  <c r="AC43" i="4"/>
  <c r="J57" i="4"/>
  <c r="H50" i="4"/>
  <c r="C50" i="4"/>
  <c r="C57" i="4"/>
  <c r="F43" i="4"/>
  <c r="P51" i="1"/>
  <c r="W51" i="1"/>
  <c r="Y51" i="1"/>
  <c r="T51" i="1"/>
  <c r="J51" i="1"/>
  <c r="N51" i="1"/>
  <c r="R51" i="1"/>
  <c r="AA51" i="1"/>
  <c r="H51" i="1"/>
  <c r="C43" i="4"/>
  <c r="E43" i="4"/>
  <c r="L51" i="1"/>
  <c r="AC51" i="1"/>
  <c r="AB41" i="1"/>
  <c r="Z41" i="1"/>
  <c r="X41" i="1"/>
  <c r="U41" i="1"/>
  <c r="S41" i="1"/>
  <c r="Q41" i="1"/>
  <c r="O41" i="1"/>
  <c r="M41" i="1"/>
  <c r="K41" i="1"/>
  <c r="I41" i="1"/>
  <c r="G41" i="1"/>
  <c r="C41" i="1"/>
  <c r="E41" i="1"/>
  <c r="F41" i="1"/>
  <c r="F51" i="1" s="1"/>
  <c r="AB47" i="4" l="1"/>
  <c r="Y50" i="4"/>
  <c r="R50" i="4"/>
  <c r="W57" i="4"/>
  <c r="AB50" i="4"/>
  <c r="AC50" i="4"/>
  <c r="S50" i="4"/>
  <c r="S52" i="4" s="1"/>
  <c r="Q55" i="4"/>
  <c r="N50" i="4"/>
  <c r="X50" i="4"/>
  <c r="U57" i="4"/>
  <c r="U50" i="4"/>
  <c r="P50" i="4"/>
  <c r="AA55" i="4"/>
  <c r="T46" i="4"/>
  <c r="J55" i="4"/>
  <c r="Z46" i="4"/>
  <c r="D55" i="4"/>
  <c r="P46" i="4"/>
  <c r="P56" i="4" s="1"/>
  <c r="X47" i="4"/>
  <c r="X52" i="4" s="1"/>
  <c r="AB55" i="4"/>
  <c r="U46" i="4"/>
  <c r="U47" i="4"/>
  <c r="V47" i="4"/>
  <c r="V52" i="4" s="1"/>
  <c r="V55" i="4"/>
  <c r="V46" i="4"/>
  <c r="AC56" i="4"/>
  <c r="U56" i="4"/>
  <c r="O56" i="4"/>
  <c r="G56" i="4"/>
  <c r="Z56" i="4"/>
  <c r="V56" i="4"/>
  <c r="T56" i="4"/>
  <c r="B56" i="4"/>
  <c r="AC47" i="4"/>
  <c r="Z47" i="4"/>
  <c r="AA46" i="4"/>
  <c r="AA56" i="4" s="1"/>
  <c r="W47" i="4"/>
  <c r="W52" i="4" s="1"/>
  <c r="L47" i="4"/>
  <c r="L52" i="4" s="1"/>
  <c r="W46" i="4"/>
  <c r="W56" i="4" s="1"/>
  <c r="K47" i="4"/>
  <c r="K52" i="4" s="1"/>
  <c r="L55" i="4"/>
  <c r="E46" i="4"/>
  <c r="E56" i="4" s="1"/>
  <c r="G51" i="1"/>
  <c r="L46" i="4"/>
  <c r="L56" i="4" s="1"/>
  <c r="X46" i="4"/>
  <c r="X56" i="4" s="1"/>
  <c r="K46" i="4"/>
  <c r="K56" i="4" s="1"/>
  <c r="O47" i="4"/>
  <c r="O52" i="4" s="1"/>
  <c r="V51" i="1"/>
  <c r="G55" i="4"/>
  <c r="AC55" i="4"/>
  <c r="Z52" i="4"/>
  <c r="T55" i="4"/>
  <c r="D51" i="1"/>
  <c r="T47" i="4"/>
  <c r="T52" i="4" s="1"/>
  <c r="D46" i="4"/>
  <c r="D56" i="4" s="1"/>
  <c r="I47" i="4"/>
  <c r="I52" i="4" s="1"/>
  <c r="G47" i="4"/>
  <c r="G52" i="4" s="1"/>
  <c r="AA47" i="4"/>
  <c r="AA52" i="4" s="1"/>
  <c r="T57" i="4"/>
  <c r="S55" i="4"/>
  <c r="Z55" i="4"/>
  <c r="N47" i="4"/>
  <c r="N52" i="4" s="1"/>
  <c r="H47" i="4"/>
  <c r="H52" i="4" s="1"/>
  <c r="I46" i="4"/>
  <c r="I56" i="4" s="1"/>
  <c r="P55" i="4"/>
  <c r="H46" i="4"/>
  <c r="H56" i="4" s="1"/>
  <c r="J46" i="4"/>
  <c r="J56" i="4" s="1"/>
  <c r="Q47" i="4"/>
  <c r="Q52" i="4" s="1"/>
  <c r="AB46" i="4"/>
  <c r="AB56" i="4" s="1"/>
  <c r="H55" i="4"/>
  <c r="O55" i="4"/>
  <c r="R55" i="4"/>
  <c r="B55" i="4"/>
  <c r="B52" i="4"/>
  <c r="X55" i="4"/>
  <c r="D47" i="4"/>
  <c r="D52" i="4" s="1"/>
  <c r="N55" i="4"/>
  <c r="N46" i="4"/>
  <c r="N56" i="4" s="1"/>
  <c r="R47" i="4"/>
  <c r="S46" i="4"/>
  <c r="S56" i="4" s="1"/>
  <c r="Y55" i="4"/>
  <c r="E55" i="4"/>
  <c r="Q46" i="4"/>
  <c r="Q56" i="4" s="1"/>
  <c r="R46" i="4"/>
  <c r="R56" i="4" s="1"/>
  <c r="E47" i="4"/>
  <c r="E52" i="4" s="1"/>
  <c r="J47" i="4"/>
  <c r="J52" i="4" s="1"/>
  <c r="Y47" i="4"/>
  <c r="Y46" i="4"/>
  <c r="Y56" i="4" s="1"/>
  <c r="C55" i="4"/>
  <c r="C47" i="4"/>
  <c r="C52" i="4" s="1"/>
  <c r="M55" i="4"/>
  <c r="M46" i="4"/>
  <c r="M56" i="4" s="1"/>
  <c r="M47" i="4"/>
  <c r="M52" i="4" s="1"/>
  <c r="I55" i="4"/>
  <c r="P47" i="4"/>
  <c r="C46" i="4"/>
  <c r="C56" i="4" s="1"/>
  <c r="C51" i="1"/>
  <c r="I51" i="1"/>
  <c r="M51" i="1"/>
  <c r="Q51" i="1"/>
  <c r="U51" i="1"/>
  <c r="Z51" i="1"/>
  <c r="F47" i="4"/>
  <c r="F52" i="4" s="1"/>
  <c r="F46" i="4"/>
  <c r="F56" i="4" s="1"/>
  <c r="F55" i="4"/>
  <c r="E51" i="1"/>
  <c r="K51" i="1"/>
  <c r="O51" i="1"/>
  <c r="S51" i="1"/>
  <c r="X51" i="1"/>
  <c r="AB51" i="1"/>
  <c r="V53" i="4" l="1"/>
  <c r="AB52" i="4"/>
  <c r="U52" i="4"/>
  <c r="U53" i="4" s="1"/>
  <c r="R52" i="4"/>
  <c r="R53" i="4" s="1"/>
  <c r="AC52" i="4"/>
  <c r="P52" i="4"/>
  <c r="P53" i="4" s="1"/>
  <c r="G53" i="4"/>
  <c r="F53" i="4"/>
  <c r="Z53" i="4"/>
  <c r="N53" i="4"/>
  <c r="AA53" i="4"/>
  <c r="L53" i="4"/>
  <c r="I53" i="4"/>
  <c r="K53" i="4"/>
  <c r="H53" i="4"/>
  <c r="T53" i="4"/>
  <c r="W53" i="4"/>
  <c r="J53" i="4"/>
  <c r="O53" i="4"/>
  <c r="X53" i="4"/>
  <c r="Y52" i="4"/>
  <c r="E53" i="4"/>
  <c r="D53" i="4"/>
  <c r="Q53" i="4"/>
  <c r="C53" i="4"/>
  <c r="S53" i="4"/>
  <c r="M53" i="4"/>
  <c r="AB53" i="4" l="1"/>
  <c r="AC53" i="4"/>
  <c r="Y53" i="4"/>
</calcChain>
</file>

<file path=xl/sharedStrings.xml><?xml version="1.0" encoding="utf-8"?>
<sst xmlns="http://schemas.openxmlformats.org/spreadsheetml/2006/main" count="433" uniqueCount="153">
  <si>
    <t>Bezeichnung</t>
  </si>
  <si>
    <t>Investition</t>
  </si>
  <si>
    <t>Kosteneinsparung nach 20 Jahren</t>
  </si>
  <si>
    <t>Autarkie Wärme</t>
  </si>
  <si>
    <t>Ausgangsplanung</t>
  </si>
  <si>
    <t>Holzvergaser</t>
  </si>
  <si>
    <t>Autarkie Strom</t>
  </si>
  <si>
    <t>Förderung</t>
  </si>
  <si>
    <t>Luft-Wärmepumpe</t>
  </si>
  <si>
    <t>Erd-Wärmepumpe</t>
  </si>
  <si>
    <t>Nutzwärme</t>
  </si>
  <si>
    <t xml:space="preserve">Fernwärme, </t>
  </si>
  <si>
    <t>fossil</t>
  </si>
  <si>
    <t>erneuerbar</t>
  </si>
  <si>
    <t xml:space="preserve">Photovoltaik und </t>
  </si>
  <si>
    <t>Elektroheizung</t>
  </si>
  <si>
    <t>und Speicher</t>
  </si>
  <si>
    <t xml:space="preserve">Holzheizung und </t>
  </si>
  <si>
    <t>Solarthermie</t>
  </si>
  <si>
    <t>wärmepumpe</t>
  </si>
  <si>
    <t>und Solarthermie</t>
  </si>
  <si>
    <t>und Photovoltaik</t>
  </si>
  <si>
    <t>Wärmeerzeuger</t>
  </si>
  <si>
    <t>Schornstein</t>
  </si>
  <si>
    <t>Gasanschluss</t>
  </si>
  <si>
    <t>Heizsystem</t>
  </si>
  <si>
    <t>Lüftungsanlage</t>
  </si>
  <si>
    <t>Photovoltaik</t>
  </si>
  <si>
    <t>Bauliche Verbesserung</t>
  </si>
  <si>
    <t>Batteriespeicher</t>
  </si>
  <si>
    <t>verbleibende Investition</t>
  </si>
  <si>
    <t>Stromverbrauch</t>
  </si>
  <si>
    <t>kWh/a</t>
  </si>
  <si>
    <t>B</t>
  </si>
  <si>
    <t>Einstufung im Energieausweis</t>
  </si>
  <si>
    <t>A</t>
  </si>
  <si>
    <t>A+</t>
  </si>
  <si>
    <t>Variante 0</t>
  </si>
  <si>
    <t>Variante 1 a</t>
  </si>
  <si>
    <t>Variante 3 a</t>
  </si>
  <si>
    <t>Variante 3 b</t>
  </si>
  <si>
    <t>Variante 4 a</t>
  </si>
  <si>
    <t>Variante 4 b</t>
  </si>
  <si>
    <t>Variante 6 a</t>
  </si>
  <si>
    <t>Variante 6 b</t>
  </si>
  <si>
    <t>Variante 7</t>
  </si>
  <si>
    <t>Variante 9</t>
  </si>
  <si>
    <t>Variante 10 a</t>
  </si>
  <si>
    <t>Variante 10 b</t>
  </si>
  <si>
    <t>Variante 10 c</t>
  </si>
  <si>
    <t>Variante 10 d</t>
  </si>
  <si>
    <t>Variante 11 a</t>
  </si>
  <si>
    <t>Variante 11 b</t>
  </si>
  <si>
    <t>C</t>
  </si>
  <si>
    <t>Variante 6 c</t>
  </si>
  <si>
    <t>Variante 6 d</t>
  </si>
  <si>
    <t>Variante 6 e</t>
  </si>
  <si>
    <t>Variante 6 f</t>
  </si>
  <si>
    <t>Luftheizung</t>
  </si>
  <si>
    <t>Effizienzhaus</t>
  </si>
  <si>
    <t>Passivhaus</t>
  </si>
  <si>
    <t>Brennwertkessel</t>
  </si>
  <si>
    <t>Fernwärme + ST</t>
  </si>
  <si>
    <t>Variante 3 c</t>
  </si>
  <si>
    <t>Sonnenhaus</t>
  </si>
  <si>
    <t>Variante 2 b</t>
  </si>
  <si>
    <t xml:space="preserve">BHKW mit </t>
  </si>
  <si>
    <t>Brennstoffzelle</t>
  </si>
  <si>
    <t>Variante 5</t>
  </si>
  <si>
    <t>Solare Heizungs-</t>
  </si>
  <si>
    <t>unterstützung</t>
  </si>
  <si>
    <t>kein</t>
  </si>
  <si>
    <t>Amortisationszeit (a - Jahre)</t>
  </si>
  <si>
    <t>CO2 (t/a - Tonnen pro Jahr)</t>
  </si>
  <si>
    <t>Endenergie (kWh/a - kWh pro Jahr)</t>
  </si>
  <si>
    <t>Wohnfläche</t>
  </si>
  <si>
    <t>m²</t>
  </si>
  <si>
    <t>Globalstrahlung</t>
  </si>
  <si>
    <t>kWh/m²a</t>
  </si>
  <si>
    <t>Gaspreis</t>
  </si>
  <si>
    <t>Strompreis</t>
  </si>
  <si>
    <t>Cent/kWh</t>
  </si>
  <si>
    <t>WP-Strompreis</t>
  </si>
  <si>
    <t>Umrechnungsfaktoren</t>
  </si>
  <si>
    <t>Strom</t>
  </si>
  <si>
    <t>Holzpreis</t>
  </si>
  <si>
    <t>Pelletpreis</t>
  </si>
  <si>
    <t>€/ rm</t>
  </si>
  <si>
    <t>€/ t</t>
  </si>
  <si>
    <t>kWh/rm</t>
  </si>
  <si>
    <t>kWh/t</t>
  </si>
  <si>
    <t>ct/kWh</t>
  </si>
  <si>
    <t>Fernwärmepreis</t>
  </si>
  <si>
    <t>CO2-Faktoren:</t>
  </si>
  <si>
    <t>Gas</t>
  </si>
  <si>
    <t>Holz</t>
  </si>
  <si>
    <t>Pellet</t>
  </si>
  <si>
    <t>Fernwärme</t>
  </si>
  <si>
    <t>kg/kWh</t>
  </si>
  <si>
    <t>Fernwärme EE</t>
  </si>
  <si>
    <t>Ausgangswerte:</t>
  </si>
  <si>
    <t>Pelletkessel</t>
  </si>
  <si>
    <t>Variante 1 b</t>
  </si>
  <si>
    <t>BHKW mit Motor</t>
  </si>
  <si>
    <t>Variante 2 a</t>
  </si>
  <si>
    <t>Investition im Vergleich</t>
  </si>
  <si>
    <t>Wärme pro Jahr</t>
  </si>
  <si>
    <t>Strom pro Jahr</t>
  </si>
  <si>
    <t>Energiekosten pro Jahr</t>
  </si>
  <si>
    <t>Stromproduktion pro Jahr</t>
  </si>
  <si>
    <t>davon Strom selbstgenutzt</t>
  </si>
  <si>
    <t>Stromerlös pro Jahr</t>
  </si>
  <si>
    <t>Wartungskosten etc. pro Jahr</t>
  </si>
  <si>
    <t>Betriebskosten pro Jahr</t>
  </si>
  <si>
    <t>Autarkie Wärme: mindestens 50 Prozent</t>
  </si>
  <si>
    <t>Autarkie Strom: mindestens 50 Prozent</t>
  </si>
  <si>
    <t>Amortisationszeit: höchstens 10 Jahre</t>
  </si>
  <si>
    <t>Betriebskosten: höchstens 200 € jährlich</t>
  </si>
  <si>
    <t>Kosteneinsparung: mindestens 10.000 € über 20 Jahre</t>
  </si>
  <si>
    <t>Tabelle 3:</t>
  </si>
  <si>
    <t>grüne Schriftfarbe</t>
  </si>
  <si>
    <t>rote Schriftfarbe</t>
  </si>
  <si>
    <t>Investitionskosten: höchstens 1.000 € Zusatzkosten</t>
  </si>
  <si>
    <t>Kohlendioxidbelastung: höchstens 0,5 Tonnen jährlich</t>
  </si>
  <si>
    <t>Bitte eigene Werte eintragen</t>
  </si>
  <si>
    <t>Bei dieser Varianten ist die Investition geringer als die der Ausgangsplanung</t>
  </si>
  <si>
    <t>In dieser Zeile ist die Variante ungünstiger als die Ausgangsplanung</t>
  </si>
  <si>
    <t>Anmerkung:</t>
  </si>
  <si>
    <r>
      <rPr>
        <b/>
        <sz val="10"/>
        <rFont val="Calibri"/>
        <family val="2"/>
      </rPr>
      <t>→</t>
    </r>
    <r>
      <rPr>
        <b/>
        <sz val="10"/>
        <rFont val="Arial"/>
        <family val="2"/>
      </rPr>
      <t xml:space="preserve"> Anmerkung</t>
    </r>
  </si>
  <si>
    <t>In diesen Feldern stehen die im Ratgeber dokumentierten Vorgabewerte</t>
  </si>
  <si>
    <t>Förderung BEG WG</t>
  </si>
  <si>
    <t>Förderung Einzelmaßnahmen</t>
  </si>
  <si>
    <t>Variante 8 a</t>
  </si>
  <si>
    <t>Gas-Hybrid-</t>
  </si>
  <si>
    <t>Variante 8 b</t>
  </si>
  <si>
    <t>Pellet-Hybrid</t>
  </si>
  <si>
    <t>Deswegen kann die Kosteneinsparung nach 20 Jahren geringer sein, als nach der Amortisationszeit erwartet.</t>
  </si>
  <si>
    <t>Bei dieser Variante können sich die Betriebskosten nach Erreichen von 30.000 Volllaststunden erhöhen (→ Seite 62 im Ratgeber).</t>
  </si>
  <si>
    <t>Einspeisevergütung</t>
  </si>
  <si>
    <t>Pellet-Hybrid-</t>
  </si>
  <si>
    <t>Förderung Land/ Kommune</t>
  </si>
  <si>
    <t>entspricht</t>
  </si>
  <si>
    <t>A +</t>
  </si>
  <si>
    <t>A *</t>
  </si>
  <si>
    <t xml:space="preserve">Visualisierung </t>
  </si>
  <si>
    <t>Visualisierung</t>
  </si>
  <si>
    <t>Haustechnikvarianten beim Neubau Meier ohne BEG-Förderung</t>
  </si>
  <si>
    <t xml:space="preserve">Haustechnikvarianten Neubau ohne BEG Förderung </t>
  </si>
  <si>
    <t>Energiepreise Stand Januar 2023 teilweise orientiert an den Preisdeckeln, ohne Preissteigerung</t>
  </si>
  <si>
    <r>
      <t>Energiepreise Stand Januar 2023 teilweise orientiert an den Preisdeckeln,</t>
    </r>
    <r>
      <rPr>
        <sz val="10"/>
        <rFont val="Arial"/>
      </rPr>
      <t xml:space="preserve"> ohne Preissteigerung</t>
    </r>
  </si>
  <si>
    <t>Vollständige Tabelle mit allen Varianten (zur Tabelle im "Ratgeber Heizung", Seite 168/169) - Stand 18.03.2023</t>
  </si>
  <si>
    <t>Die BEG-Förderung für Neubauten wird in der Tabelle nicht berücksichtigt, da die Förderfähigkeit stark von der Auswahl der Baumaterialien abhängt, was hier nicht bewertet werden kann.</t>
  </si>
  <si>
    <t>Tragen Sie hier Ihre individuellen Werte ein  - Stand 18.03.2023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</si>
</sst>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€&quot;;\-#,##0\ &quot;€&quot;"/>
    <numFmt numFmtId="6" formatCode="#,##0\ &quot;€&quot;;[Red]\-#,##0\ &quot;€&quot;"/>
    <numFmt numFmtId="164" formatCode="#,##0\ &quot;€&quot;"/>
    <numFmt numFmtId="165" formatCode="#,##0\ &quot;kWh/a&quot;"/>
    <numFmt numFmtId="166" formatCode="0.0\ &quot;t/a&quot;"/>
    <numFmt numFmtId="167" formatCode="0.0\ &quot;a&quot;"/>
    <numFmt numFmtId="168" formatCode="0\ \ &quot;a&quot;"/>
    <numFmt numFmtId="169" formatCode="0.0\ \ &quot;a&quot;"/>
    <numFmt numFmtId="170" formatCode="#,##0.0"/>
    <numFmt numFmtId="171" formatCode="#,##0.000"/>
    <numFmt numFmtId="172" formatCode="#,##0.0_ ;[Red]\-#,##0.0\ "/>
    <numFmt numFmtId="173" formatCode="#,##0.000\ &quot;Cent/kWh&quot;"/>
  </numFmts>
  <fonts count="13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name val="Calibri"/>
      <family val="2"/>
    </font>
    <font>
      <sz val="10"/>
      <color rgb="FF339933"/>
      <name val="Arial"/>
      <family val="2"/>
    </font>
    <font>
      <sz val="10"/>
      <color rgb="FFFF0000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34BC9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9" fontId="0" fillId="0" borderId="0" xfId="0" applyNumberFormat="1"/>
    <xf numFmtId="166" fontId="0" fillId="0" borderId="0" xfId="0" applyNumberFormat="1"/>
    <xf numFmtId="6" fontId="0" fillId="0" borderId="0" xfId="0" applyNumberFormat="1"/>
    <xf numFmtId="0" fontId="1" fillId="5" borderId="0" xfId="0" applyFont="1" applyFill="1"/>
    <xf numFmtId="0" fontId="0" fillId="6" borderId="0" xfId="0" applyFill="1"/>
    <xf numFmtId="6" fontId="0" fillId="6" borderId="0" xfId="0" applyNumberFormat="1" applyFill="1"/>
    <xf numFmtId="164" fontId="0" fillId="6" borderId="0" xfId="0" applyNumberFormat="1" applyFill="1"/>
    <xf numFmtId="6" fontId="3" fillId="6" borderId="0" xfId="0" applyNumberFormat="1" applyFont="1" applyFill="1"/>
    <xf numFmtId="170" fontId="0" fillId="6" borderId="0" xfId="0" applyNumberFormat="1" applyFill="1"/>
    <xf numFmtId="0" fontId="1" fillId="6" borderId="1" xfId="0" applyFont="1" applyFill="1" applyBorder="1"/>
    <xf numFmtId="3" fontId="0" fillId="6" borderId="2" xfId="0" applyNumberFormat="1" applyFill="1" applyBorder="1"/>
    <xf numFmtId="0" fontId="0" fillId="6" borderId="2" xfId="0" applyFill="1" applyBorder="1"/>
    <xf numFmtId="0" fontId="0" fillId="6" borderId="3" xfId="0" applyFill="1" applyBorder="1"/>
    <xf numFmtId="0" fontId="1" fillId="6" borderId="4" xfId="0" applyFont="1" applyFill="1" applyBorder="1"/>
    <xf numFmtId="3" fontId="0" fillId="6" borderId="0" xfId="0" applyNumberFormat="1" applyFill="1"/>
    <xf numFmtId="0" fontId="0" fillId="6" borderId="5" xfId="0" applyFill="1" applyBorder="1"/>
    <xf numFmtId="172" fontId="0" fillId="6" borderId="0" xfId="0" applyNumberFormat="1" applyFill="1"/>
    <xf numFmtId="164" fontId="3" fillId="6" borderId="0" xfId="0" applyNumberFormat="1" applyFont="1" applyFill="1"/>
    <xf numFmtId="4" fontId="0" fillId="6" borderId="0" xfId="0" applyNumberFormat="1" applyFill="1"/>
    <xf numFmtId="164" fontId="0" fillId="6" borderId="5" xfId="0" applyNumberFormat="1" applyFill="1" applyBorder="1"/>
    <xf numFmtId="0" fontId="1" fillId="6" borderId="6" xfId="0" applyFont="1" applyFill="1" applyBorder="1"/>
    <xf numFmtId="0" fontId="0" fillId="6" borderId="7" xfId="0" applyFill="1" applyBorder="1"/>
    <xf numFmtId="164" fontId="0" fillId="6" borderId="7" xfId="0" applyNumberFormat="1" applyFill="1" applyBorder="1"/>
    <xf numFmtId="6" fontId="0" fillId="6" borderId="7" xfId="0" applyNumberFormat="1" applyFill="1" applyBorder="1"/>
    <xf numFmtId="164" fontId="0" fillId="6" borderId="8" xfId="0" applyNumberFormat="1" applyFill="1" applyBorder="1"/>
    <xf numFmtId="0" fontId="1" fillId="6" borderId="9" xfId="0" applyFont="1" applyFill="1" applyBorder="1"/>
    <xf numFmtId="3" fontId="0" fillId="6" borderId="10" xfId="0" applyNumberFormat="1" applyFill="1" applyBorder="1"/>
    <xf numFmtId="164" fontId="3" fillId="6" borderId="10" xfId="0" applyNumberFormat="1" applyFont="1" applyFill="1" applyBorder="1"/>
    <xf numFmtId="6" fontId="3" fillId="6" borderId="10" xfId="0" applyNumberFormat="1" applyFont="1" applyFill="1" applyBorder="1"/>
    <xf numFmtId="170" fontId="0" fillId="6" borderId="10" xfId="0" applyNumberFormat="1" applyFill="1" applyBorder="1"/>
    <xf numFmtId="164" fontId="3" fillId="6" borderId="3" xfId="0" applyNumberFormat="1" applyFont="1" applyFill="1" applyBorder="1"/>
    <xf numFmtId="0" fontId="0" fillId="6" borderId="8" xfId="0" applyFill="1" applyBorder="1"/>
    <xf numFmtId="6" fontId="0" fillId="6" borderId="5" xfId="0" applyNumberFormat="1" applyFill="1" applyBorder="1"/>
    <xf numFmtId="0" fontId="0" fillId="6" borderId="1" xfId="0" applyFill="1" applyBorder="1"/>
    <xf numFmtId="164" fontId="0" fillId="6" borderId="4" xfId="0" applyNumberFormat="1" applyFill="1" applyBorder="1"/>
    <xf numFmtId="164" fontId="0" fillId="6" borderId="6" xfId="0" applyNumberFormat="1" applyFill="1" applyBorder="1"/>
    <xf numFmtId="164" fontId="3" fillId="6" borderId="9" xfId="0" applyNumberFormat="1" applyFont="1" applyFill="1" applyBorder="1"/>
    <xf numFmtId="171" fontId="0" fillId="6" borderId="10" xfId="0" applyNumberFormat="1" applyFill="1" applyBorder="1"/>
    <xf numFmtId="6" fontId="3" fillId="6" borderId="11" xfId="0" applyNumberFormat="1" applyFont="1" applyFill="1" applyBorder="1"/>
    <xf numFmtId="0" fontId="1" fillId="0" borderId="5" xfId="0" applyFont="1" applyBorder="1"/>
    <xf numFmtId="0" fontId="1" fillId="0" borderId="12" xfId="0" applyFont="1" applyBorder="1"/>
    <xf numFmtId="164" fontId="1" fillId="0" borderId="12" xfId="0" applyNumberFormat="1" applyFont="1" applyBorder="1"/>
    <xf numFmtId="0" fontId="1" fillId="0" borderId="12" xfId="1" applyFont="1" applyBorder="1"/>
    <xf numFmtId="0" fontId="1" fillId="5" borderId="5" xfId="0" applyFont="1" applyFill="1" applyBorder="1"/>
    <xf numFmtId="0" fontId="1" fillId="5" borderId="12" xfId="0" applyFont="1" applyFill="1" applyBorder="1" applyAlignment="1">
      <alignment horizontal="center"/>
    </xf>
    <xf numFmtId="164" fontId="0" fillId="0" borderId="12" xfId="0" applyNumberFormat="1" applyBorder="1"/>
    <xf numFmtId="6" fontId="0" fillId="0" borderId="12" xfId="0" applyNumberFormat="1" applyBorder="1"/>
    <xf numFmtId="166" fontId="0" fillId="0" borderId="12" xfId="0" applyNumberFormat="1" applyBorder="1"/>
    <xf numFmtId="0" fontId="1" fillId="6" borderId="8" xfId="0" applyFont="1" applyFill="1" applyBorder="1"/>
    <xf numFmtId="0" fontId="1" fillId="6" borderId="13" xfId="0" applyFont="1" applyFill="1" applyBorder="1"/>
    <xf numFmtId="164" fontId="0" fillId="6" borderId="13" xfId="0" applyNumberFormat="1" applyFill="1" applyBorder="1"/>
    <xf numFmtId="164" fontId="3" fillId="6" borderId="13" xfId="1" applyNumberFormat="1" applyFill="1" applyBorder="1"/>
    <xf numFmtId="0" fontId="1" fillId="6" borderId="11" xfId="0" applyFont="1" applyFill="1" applyBorder="1"/>
    <xf numFmtId="164" fontId="0" fillId="6" borderId="14" xfId="0" applyNumberFormat="1" applyFill="1" applyBorder="1"/>
    <xf numFmtId="164" fontId="3" fillId="6" borderId="14" xfId="1" applyNumberFormat="1" applyFill="1" applyBorder="1"/>
    <xf numFmtId="0" fontId="1" fillId="6" borderId="3" xfId="0" applyFont="1" applyFill="1" applyBorder="1"/>
    <xf numFmtId="164" fontId="0" fillId="6" borderId="15" xfId="0" applyNumberFormat="1" applyFill="1" applyBorder="1"/>
    <xf numFmtId="164" fontId="3" fillId="6" borderId="15" xfId="1" applyNumberFormat="1" applyFill="1" applyBorder="1"/>
    <xf numFmtId="0" fontId="1" fillId="7" borderId="5" xfId="0" applyFont="1" applyFill="1" applyBorder="1"/>
    <xf numFmtId="164" fontId="0" fillId="7" borderId="12" xfId="0" applyNumberFormat="1" applyFill="1" applyBorder="1"/>
    <xf numFmtId="0" fontId="1" fillId="0" borderId="8" xfId="0" applyFont="1" applyBorder="1"/>
    <xf numFmtId="165" fontId="0" fillId="0" borderId="13" xfId="0" applyNumberFormat="1" applyBorder="1"/>
    <xf numFmtId="0" fontId="1" fillId="0" borderId="11" xfId="0" applyFont="1" applyBorder="1"/>
    <xf numFmtId="165" fontId="0" fillId="0" borderId="14" xfId="0" applyNumberFormat="1" applyBorder="1"/>
    <xf numFmtId="164" fontId="0" fillId="0" borderId="14" xfId="0" applyNumberFormat="1" applyBorder="1"/>
    <xf numFmtId="0" fontId="1" fillId="0" borderId="3" xfId="0" applyFont="1" applyBorder="1"/>
    <xf numFmtId="164" fontId="0" fillId="0" borderId="15" xfId="0" applyNumberFormat="1" applyBorder="1"/>
    <xf numFmtId="0" fontId="1" fillId="0" borderId="2" xfId="0" applyFont="1" applyBorder="1"/>
    <xf numFmtId="0" fontId="3" fillId="0" borderId="0" xfId="0" applyFont="1"/>
    <xf numFmtId="164" fontId="0" fillId="0" borderId="11" xfId="0" applyNumberFormat="1" applyBorder="1"/>
    <xf numFmtId="0" fontId="1" fillId="0" borderId="10" xfId="0" applyFont="1" applyBorder="1"/>
    <xf numFmtId="171" fontId="0" fillId="8" borderId="10" xfId="0" applyNumberFormat="1" applyFill="1" applyBorder="1" applyProtection="1">
      <protection locked="0"/>
    </xf>
    <xf numFmtId="164" fontId="0" fillId="9" borderId="0" xfId="0" applyNumberFormat="1" applyFill="1"/>
    <xf numFmtId="6" fontId="0" fillId="9" borderId="0" xfId="0" applyNumberFormat="1" applyFill="1"/>
    <xf numFmtId="6" fontId="0" fillId="9" borderId="5" xfId="0" applyNumberFormat="1" applyFill="1" applyBorder="1"/>
    <xf numFmtId="164" fontId="0" fillId="9" borderId="7" xfId="0" applyNumberFormat="1" applyFill="1" applyBorder="1"/>
    <xf numFmtId="6" fontId="0" fillId="9" borderId="7" xfId="0" applyNumberFormat="1" applyFill="1" applyBorder="1"/>
    <xf numFmtId="6" fontId="0" fillId="9" borderId="8" xfId="0" applyNumberFormat="1" applyFill="1" applyBorder="1"/>
    <xf numFmtId="0" fontId="3" fillId="9" borderId="0" xfId="0" applyFont="1" applyFill="1"/>
    <xf numFmtId="0" fontId="0" fillId="9" borderId="0" xfId="0" applyFill="1"/>
    <xf numFmtId="0" fontId="0" fillId="9" borderId="5" xfId="0" applyFill="1" applyBorder="1"/>
    <xf numFmtId="0" fontId="0" fillId="9" borderId="10" xfId="0" applyFill="1" applyBorder="1"/>
    <xf numFmtId="0" fontId="0" fillId="9" borderId="11" xfId="0" applyFill="1" applyBorder="1"/>
    <xf numFmtId="6" fontId="3" fillId="9" borderId="10" xfId="0" applyNumberFormat="1" applyFont="1" applyFill="1" applyBorder="1"/>
    <xf numFmtId="0" fontId="0" fillId="9" borderId="1" xfId="0" applyFill="1" applyBorder="1"/>
    <xf numFmtId="0" fontId="0" fillId="9" borderId="2" xfId="0" applyFill="1" applyBorder="1"/>
    <xf numFmtId="0" fontId="2" fillId="9" borderId="3" xfId="0" applyFont="1" applyFill="1" applyBorder="1"/>
    <xf numFmtId="0" fontId="1" fillId="5" borderId="5" xfId="0" applyFont="1" applyFill="1" applyBorder="1" applyAlignment="1">
      <alignment horizontal="center"/>
    </xf>
    <xf numFmtId="164" fontId="0" fillId="8" borderId="12" xfId="0" applyNumberFormat="1" applyFill="1" applyBorder="1" applyProtection="1">
      <protection locked="0"/>
    </xf>
    <xf numFmtId="164" fontId="0" fillId="8" borderId="5" xfId="0" applyNumberFormat="1" applyFill="1" applyBorder="1" applyProtection="1">
      <protection locked="0"/>
    </xf>
    <xf numFmtId="164" fontId="0" fillId="0" borderId="5" xfId="0" applyNumberFormat="1" applyBorder="1"/>
    <xf numFmtId="6" fontId="0" fillId="0" borderId="5" xfId="0" applyNumberFormat="1" applyBorder="1"/>
    <xf numFmtId="166" fontId="0" fillId="0" borderId="5" xfId="0" applyNumberFormat="1" applyBorder="1"/>
    <xf numFmtId="0" fontId="1" fillId="0" borderId="7" xfId="0" applyFont="1" applyBorder="1"/>
    <xf numFmtId="164" fontId="0" fillId="8" borderId="13" xfId="0" applyNumberFormat="1" applyFill="1" applyBorder="1" applyProtection="1">
      <protection locked="0"/>
    </xf>
    <xf numFmtId="164" fontId="0" fillId="8" borderId="11" xfId="0" applyNumberFormat="1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164" fontId="3" fillId="0" borderId="14" xfId="1" applyNumberFormat="1" applyBorder="1"/>
    <xf numFmtId="164" fontId="0" fillId="0" borderId="3" xfId="0" applyNumberFormat="1" applyBorder="1"/>
    <xf numFmtId="164" fontId="3" fillId="0" borderId="15" xfId="1" applyNumberFormat="1" applyBorder="1"/>
    <xf numFmtId="164" fontId="0" fillId="8" borderId="15" xfId="0" applyNumberFormat="1" applyFill="1" applyBorder="1" applyProtection="1">
      <protection locked="0"/>
    </xf>
    <xf numFmtId="165" fontId="0" fillId="0" borderId="8" xfId="0" applyNumberFormat="1" applyBorder="1"/>
    <xf numFmtId="165" fontId="0" fillId="0" borderId="11" xfId="0" applyNumberFormat="1" applyBorder="1"/>
    <xf numFmtId="165" fontId="3" fillId="0" borderId="11" xfId="0" applyNumberFormat="1" applyFont="1" applyBorder="1"/>
    <xf numFmtId="165" fontId="3" fillId="0" borderId="14" xfId="0" applyNumberFormat="1" applyFont="1" applyBorder="1"/>
    <xf numFmtId="9" fontId="0" fillId="10" borderId="0" xfId="0" applyNumberFormat="1" applyFill="1"/>
    <xf numFmtId="9" fontId="0" fillId="11" borderId="0" xfId="0" applyNumberFormat="1" applyFill="1"/>
    <xf numFmtId="0" fontId="2" fillId="7" borderId="0" xfId="0" applyFont="1" applyFill="1" applyAlignment="1">
      <alignment horizontal="right"/>
    </xf>
    <xf numFmtId="0" fontId="2" fillId="7" borderId="0" xfId="0" applyFont="1" applyFill="1"/>
    <xf numFmtId="0" fontId="0" fillId="7" borderId="0" xfId="0" applyFill="1"/>
    <xf numFmtId="0" fontId="5" fillId="7" borderId="0" xfId="0" applyFont="1" applyFill="1"/>
    <xf numFmtId="0" fontId="1" fillId="7" borderId="0" xfId="0" applyFont="1" applyFill="1"/>
    <xf numFmtId="164" fontId="0" fillId="7" borderId="0" xfId="0" applyNumberFormat="1" applyFill="1"/>
    <xf numFmtId="6" fontId="0" fillId="7" borderId="0" xfId="0" applyNumberFormat="1" applyFill="1"/>
    <xf numFmtId="166" fontId="0" fillId="7" borderId="0" xfId="0" applyNumberFormat="1" applyFill="1"/>
    <xf numFmtId="9" fontId="0" fillId="7" borderId="0" xfId="0" applyNumberFormat="1" applyFill="1"/>
    <xf numFmtId="0" fontId="1" fillId="7" borderId="12" xfId="0" applyFont="1" applyFill="1" applyBorder="1"/>
    <xf numFmtId="0" fontId="1" fillId="7" borderId="12" xfId="1" applyFont="1" applyFill="1" applyBorder="1"/>
    <xf numFmtId="164" fontId="1" fillId="7" borderId="5" xfId="0" applyNumberFormat="1" applyFont="1" applyFill="1" applyBorder="1"/>
    <xf numFmtId="0" fontId="1" fillId="7" borderId="16" xfId="0" applyFont="1" applyFill="1" applyBorder="1"/>
    <xf numFmtId="0" fontId="1" fillId="7" borderId="17" xfId="0" applyFont="1" applyFill="1" applyBorder="1"/>
    <xf numFmtId="6" fontId="1" fillId="7" borderId="18" xfId="0" applyNumberFormat="1" applyFont="1" applyFill="1" applyBorder="1"/>
    <xf numFmtId="6" fontId="1" fillId="7" borderId="18" xfId="1" applyNumberFormat="1" applyFont="1" applyFill="1" applyBorder="1"/>
    <xf numFmtId="164" fontId="1" fillId="7" borderId="18" xfId="1" applyNumberFormat="1" applyFont="1" applyFill="1" applyBorder="1"/>
    <xf numFmtId="165" fontId="1" fillId="7" borderId="18" xfId="0" applyNumberFormat="1" applyFont="1" applyFill="1" applyBorder="1"/>
    <xf numFmtId="164" fontId="1" fillId="7" borderId="18" xfId="0" applyNumberFormat="1" applyFont="1" applyFill="1" applyBorder="1"/>
    <xf numFmtId="167" fontId="1" fillId="7" borderId="18" xfId="0" applyNumberFormat="1" applyFont="1" applyFill="1" applyBorder="1"/>
    <xf numFmtId="0" fontId="1" fillId="7" borderId="18" xfId="0" applyFont="1" applyFill="1" applyBorder="1"/>
    <xf numFmtId="6" fontId="1" fillId="7" borderId="19" xfId="0" applyNumberFormat="1" applyFont="1" applyFill="1" applyBorder="1"/>
    <xf numFmtId="0" fontId="1" fillId="7" borderId="20" xfId="0" applyFont="1" applyFill="1" applyBorder="1"/>
    <xf numFmtId="0" fontId="1" fillId="7" borderId="21" xfId="0" applyFont="1" applyFill="1" applyBorder="1"/>
    <xf numFmtId="0" fontId="1" fillId="7" borderId="22" xfId="0" applyFont="1" applyFill="1" applyBorder="1"/>
    <xf numFmtId="0" fontId="1" fillId="7" borderId="23" xfId="0" applyFont="1" applyFill="1" applyBorder="1"/>
    <xf numFmtId="0" fontId="1" fillId="7" borderId="24" xfId="0" applyFont="1" applyFill="1" applyBorder="1"/>
    <xf numFmtId="0" fontId="1" fillId="7" borderId="25" xfId="0" applyFont="1" applyFill="1" applyBorder="1"/>
    <xf numFmtId="0" fontId="1" fillId="0" borderId="26" xfId="0" applyFont="1" applyBorder="1"/>
    <xf numFmtId="9" fontId="0" fillId="0" borderId="27" xfId="0" applyNumberFormat="1" applyBorder="1"/>
    <xf numFmtId="9" fontId="0" fillId="0" borderId="28" xfId="0" applyNumberFormat="1" applyBorder="1"/>
    <xf numFmtId="9" fontId="0" fillId="0" borderId="29" xfId="0" applyNumberFormat="1" applyBorder="1"/>
    <xf numFmtId="169" fontId="3" fillId="0" borderId="27" xfId="0" applyNumberFormat="1" applyFont="1" applyBorder="1"/>
    <xf numFmtId="164" fontId="1" fillId="0" borderId="26" xfId="0" applyNumberFormat="1" applyFont="1" applyBorder="1"/>
    <xf numFmtId="164" fontId="0" fillId="0" borderId="27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5" fontId="0" fillId="0" borderId="27" xfId="0" applyNumberFormat="1" applyBorder="1"/>
    <xf numFmtId="5" fontId="0" fillId="0" borderId="28" xfId="0" applyNumberFormat="1" applyBorder="1"/>
    <xf numFmtId="6" fontId="3" fillId="7" borderId="0" xfId="0" applyNumberFormat="1" applyFont="1" applyFill="1"/>
    <xf numFmtId="3" fontId="0" fillId="8" borderId="14" xfId="0" applyNumberFormat="1" applyFill="1" applyBorder="1" applyProtection="1">
      <protection locked="0"/>
    </xf>
    <xf numFmtId="0" fontId="0" fillId="6" borderId="14" xfId="0" applyFill="1" applyBorder="1"/>
    <xf numFmtId="170" fontId="0" fillId="8" borderId="14" xfId="0" applyNumberFormat="1" applyFill="1" applyBorder="1" applyProtection="1">
      <protection locked="0"/>
    </xf>
    <xf numFmtId="164" fontId="3" fillId="6" borderId="14" xfId="0" applyNumberFormat="1" applyFont="1" applyFill="1" applyBorder="1"/>
    <xf numFmtId="4" fontId="0" fillId="8" borderId="14" xfId="0" applyNumberFormat="1" applyFill="1" applyBorder="1" applyProtection="1">
      <protection locked="0"/>
    </xf>
    <xf numFmtId="3" fontId="0" fillId="6" borderId="14" xfId="0" applyNumberFormat="1" applyFill="1" applyBorder="1"/>
    <xf numFmtId="3" fontId="0" fillId="8" borderId="16" xfId="0" applyNumberFormat="1" applyFill="1" applyBorder="1" applyProtection="1">
      <protection locked="0"/>
    </xf>
    <xf numFmtId="0" fontId="3" fillId="0" borderId="30" xfId="0" applyFont="1" applyBorder="1"/>
    <xf numFmtId="0" fontId="0" fillId="0" borderId="30" xfId="0" applyBorder="1"/>
    <xf numFmtId="0" fontId="0" fillId="0" borderId="31" xfId="0" applyBorder="1"/>
    <xf numFmtId="0" fontId="7" fillId="0" borderId="20" xfId="0" applyFont="1" applyBorder="1"/>
    <xf numFmtId="0" fontId="0" fillId="0" borderId="32" xfId="0" applyBorder="1"/>
    <xf numFmtId="0" fontId="8" fillId="0" borderId="22" xfId="0" applyFont="1" applyBorder="1"/>
    <xf numFmtId="0" fontId="3" fillId="0" borderId="33" xfId="0" applyFont="1" applyBorder="1"/>
    <xf numFmtId="0" fontId="0" fillId="0" borderId="33" xfId="0" applyBorder="1"/>
    <xf numFmtId="0" fontId="0" fillId="0" borderId="34" xfId="0" applyBorder="1"/>
    <xf numFmtId="6" fontId="0" fillId="2" borderId="16" xfId="0" applyNumberFormat="1" applyFill="1" applyBorder="1"/>
    <xf numFmtId="166" fontId="0" fillId="12" borderId="30" xfId="0" applyNumberFormat="1" applyFill="1" applyBorder="1"/>
    <xf numFmtId="6" fontId="3" fillId="0" borderId="30" xfId="0" applyNumberFormat="1" applyFont="1" applyBorder="1"/>
    <xf numFmtId="6" fontId="0" fillId="3" borderId="20" xfId="0" applyNumberFormat="1" applyFill="1" applyBorder="1"/>
    <xf numFmtId="168" fontId="4" fillId="13" borderId="22" xfId="0" applyNumberFormat="1" applyFont="1" applyFill="1" applyBorder="1"/>
    <xf numFmtId="0" fontId="2" fillId="0" borderId="0" xfId="0" applyFont="1" applyAlignment="1">
      <alignment horizontal="right"/>
    </xf>
    <xf numFmtId="0" fontId="5" fillId="0" borderId="0" xfId="0" applyFont="1"/>
    <xf numFmtId="3" fontId="0" fillId="6" borderId="7" xfId="0" applyNumberFormat="1" applyFill="1" applyBorder="1"/>
    <xf numFmtId="164" fontId="3" fillId="0" borderId="11" xfId="0" applyNumberFormat="1" applyFont="1" applyBorder="1"/>
    <xf numFmtId="164" fontId="3" fillId="0" borderId="14" xfId="0" applyNumberFormat="1" applyFont="1" applyBorder="1"/>
    <xf numFmtId="0" fontId="1" fillId="0" borderId="35" xfId="0" applyFont="1" applyBorder="1"/>
    <xf numFmtId="164" fontId="0" fillId="0" borderId="20" xfId="0" applyNumberFormat="1" applyBorder="1"/>
    <xf numFmtId="169" fontId="4" fillId="0" borderId="28" xfId="0" applyNumberFormat="1" applyFont="1" applyBorder="1" applyAlignment="1">
      <alignment horizontal="right"/>
    </xf>
    <xf numFmtId="0" fontId="9" fillId="9" borderId="2" xfId="0" applyFont="1" applyFill="1" applyBorder="1" applyAlignment="1">
      <alignment vertical="center"/>
    </xf>
    <xf numFmtId="0" fontId="10" fillId="9" borderId="2" xfId="0" applyFont="1" applyFill="1" applyBorder="1"/>
    <xf numFmtId="0" fontId="10" fillId="6" borderId="9" xfId="0" applyFont="1" applyFill="1" applyBorder="1"/>
    <xf numFmtId="0" fontId="10" fillId="6" borderId="11" xfId="0" applyFont="1" applyFill="1" applyBorder="1"/>
    <xf numFmtId="3" fontId="10" fillId="6" borderId="9" xfId="0" applyNumberFormat="1" applyFont="1" applyFill="1" applyBorder="1"/>
    <xf numFmtId="164" fontId="10" fillId="6" borderId="11" xfId="0" applyNumberFormat="1" applyFont="1" applyFill="1" applyBorder="1"/>
    <xf numFmtId="172" fontId="10" fillId="6" borderId="9" xfId="0" applyNumberFormat="1" applyFont="1" applyFill="1" applyBorder="1"/>
    <xf numFmtId="6" fontId="10" fillId="6" borderId="10" xfId="0" applyNumberFormat="1" applyFont="1" applyFill="1" applyBorder="1"/>
    <xf numFmtId="4" fontId="10" fillId="6" borderId="9" xfId="0" applyNumberFormat="1" applyFont="1" applyFill="1" applyBorder="1"/>
    <xf numFmtId="170" fontId="10" fillId="6" borderId="11" xfId="0" applyNumberFormat="1" applyFont="1" applyFill="1" applyBorder="1"/>
    <xf numFmtId="170" fontId="10" fillId="6" borderId="9" xfId="0" applyNumberFormat="1" applyFont="1" applyFill="1" applyBorder="1"/>
    <xf numFmtId="6" fontId="10" fillId="6" borderId="11" xfId="0" applyNumberFormat="1" applyFont="1" applyFill="1" applyBorder="1"/>
    <xf numFmtId="171" fontId="10" fillId="9" borderId="9" xfId="0" applyNumberFormat="1" applyFont="1" applyFill="1" applyBorder="1"/>
    <xf numFmtId="6" fontId="10" fillId="9" borderId="11" xfId="0" applyNumberFormat="1" applyFont="1" applyFill="1" applyBorder="1"/>
    <xf numFmtId="0" fontId="9" fillId="9" borderId="9" xfId="0" applyFont="1" applyFill="1" applyBorder="1"/>
    <xf numFmtId="0" fontId="11" fillId="0" borderId="0" xfId="0" applyFont="1"/>
    <xf numFmtId="0" fontId="11" fillId="7" borderId="0" xfId="0" applyFont="1" applyFill="1"/>
    <xf numFmtId="0" fontId="1" fillId="0" borderId="38" xfId="0" applyFont="1" applyBorder="1"/>
    <xf numFmtId="0" fontId="1" fillId="0" borderId="18" xfId="0" applyFont="1" applyBorder="1"/>
    <xf numFmtId="6" fontId="1" fillId="0" borderId="18" xfId="0" applyNumberFormat="1" applyFont="1" applyBorder="1"/>
    <xf numFmtId="6" fontId="1" fillId="0" borderId="18" xfId="1" applyNumberFormat="1" applyFont="1" applyBorder="1"/>
    <xf numFmtId="164" fontId="1" fillId="0" borderId="18" xfId="1" applyNumberFormat="1" applyFont="1" applyBorder="1"/>
    <xf numFmtId="165" fontId="1" fillId="0" borderId="18" xfId="0" applyNumberFormat="1" applyFont="1" applyBorder="1"/>
    <xf numFmtId="164" fontId="1" fillId="0" borderId="18" xfId="0" applyNumberFormat="1" applyFont="1" applyBorder="1"/>
    <xf numFmtId="167" fontId="1" fillId="0" borderId="18" xfId="0" applyNumberFormat="1" applyFont="1" applyBorder="1"/>
    <xf numFmtId="6" fontId="1" fillId="0" borderId="19" xfId="0" applyNumberFormat="1" applyFont="1" applyBorder="1"/>
    <xf numFmtId="0" fontId="1" fillId="0" borderId="39" xfId="0" applyFont="1" applyBorder="1"/>
    <xf numFmtId="0" fontId="1" fillId="0" borderId="21" xfId="0" applyFont="1" applyBorder="1"/>
    <xf numFmtId="0" fontId="1" fillId="0" borderId="40" xfId="0" applyFont="1" applyBorder="1"/>
    <xf numFmtId="0" fontId="1" fillId="0" borderId="24" xfId="0" applyFont="1" applyBorder="1"/>
    <xf numFmtId="0" fontId="1" fillId="0" borderId="25" xfId="0" applyFont="1" applyBorder="1"/>
    <xf numFmtId="6" fontId="0" fillId="6" borderId="16" xfId="0" applyNumberFormat="1" applyFill="1" applyBorder="1"/>
    <xf numFmtId="0" fontId="1" fillId="0" borderId="27" xfId="0" applyFont="1" applyBorder="1"/>
    <xf numFmtId="164" fontId="1" fillId="0" borderId="27" xfId="0" applyNumberFormat="1" applyFont="1" applyBorder="1"/>
    <xf numFmtId="6" fontId="0" fillId="0" borderId="28" xfId="0" applyNumberFormat="1" applyBorder="1"/>
    <xf numFmtId="168" fontId="0" fillId="0" borderId="28" xfId="0" applyNumberFormat="1" applyBorder="1"/>
    <xf numFmtId="166" fontId="0" fillId="0" borderId="28" xfId="0" applyNumberFormat="1" applyBorder="1"/>
    <xf numFmtId="9" fontId="0" fillId="0" borderId="28" xfId="0" applyNumberFormat="1" applyBorder="1" applyAlignment="1">
      <alignment horizontal="center"/>
    </xf>
    <xf numFmtId="9" fontId="3" fillId="0" borderId="28" xfId="0" applyNumberFormat="1" applyFont="1" applyBorder="1" applyAlignment="1">
      <alignment horizontal="center"/>
    </xf>
    <xf numFmtId="0" fontId="1" fillId="6" borderId="36" xfId="0" applyFont="1" applyFill="1" applyBorder="1"/>
    <xf numFmtId="164" fontId="0" fillId="6" borderId="37" xfId="0" applyNumberFormat="1" applyFill="1" applyBorder="1"/>
    <xf numFmtId="164" fontId="0" fillId="4" borderId="20" xfId="0" applyNumberFormat="1" applyFill="1" applyBorder="1"/>
    <xf numFmtId="0" fontId="12" fillId="6" borderId="14" xfId="0" applyFont="1" applyFill="1" applyBorder="1"/>
    <xf numFmtId="0" fontId="0" fillId="7" borderId="30" xfId="0" applyFill="1" applyBorder="1"/>
    <xf numFmtId="0" fontId="0" fillId="7" borderId="31" xfId="0" applyFill="1" applyBorder="1"/>
    <xf numFmtId="0" fontId="0" fillId="7" borderId="32" xfId="0" applyFill="1" applyBorder="1"/>
    <xf numFmtId="0" fontId="0" fillId="7" borderId="22" xfId="0" applyFill="1" applyBorder="1"/>
    <xf numFmtId="0" fontId="0" fillId="7" borderId="33" xfId="0" applyFill="1" applyBorder="1"/>
    <xf numFmtId="0" fontId="0" fillId="7" borderId="34" xfId="0" applyFill="1" applyBorder="1"/>
    <xf numFmtId="0" fontId="3" fillId="7" borderId="22" xfId="0" applyFont="1" applyFill="1" applyBorder="1"/>
    <xf numFmtId="0" fontId="3" fillId="7" borderId="20" xfId="0" applyFont="1" applyFill="1" applyBorder="1"/>
    <xf numFmtId="0" fontId="12" fillId="6" borderId="9" xfId="0" applyFont="1" applyFill="1" applyBorder="1"/>
    <xf numFmtId="173" fontId="12" fillId="6" borderId="11" xfId="0" applyNumberFormat="1" applyFont="1" applyFill="1" applyBorder="1" applyAlignment="1">
      <alignment horizontal="left"/>
    </xf>
    <xf numFmtId="164" fontId="0" fillId="0" borderId="36" xfId="0" applyNumberFormat="1" applyBorder="1"/>
    <xf numFmtId="164" fontId="3" fillId="0" borderId="28" xfId="0" applyNumberFormat="1" applyFont="1" applyBorder="1"/>
    <xf numFmtId="164" fontId="3" fillId="6" borderId="4" xfId="0" applyNumberFormat="1" applyFont="1" applyFill="1" applyBorder="1"/>
    <xf numFmtId="171" fontId="0" fillId="6" borderId="0" xfId="0" applyNumberFormat="1" applyFill="1"/>
    <xf numFmtId="6" fontId="3" fillId="6" borderId="5" xfId="0" applyNumberFormat="1" applyFont="1" applyFill="1" applyBorder="1"/>
    <xf numFmtId="6" fontId="3" fillId="9" borderId="0" xfId="0" applyNumberFormat="1" applyFont="1" applyFill="1"/>
    <xf numFmtId="171" fontId="10" fillId="9" borderId="0" xfId="0" applyNumberFormat="1" applyFont="1" applyFill="1"/>
    <xf numFmtId="6" fontId="10" fillId="9" borderId="5" xfId="0" applyNumberFormat="1" applyFont="1" applyFill="1" applyBorder="1"/>
    <xf numFmtId="164" fontId="11" fillId="0" borderId="0" xfId="0" applyNumberFormat="1" applyFont="1"/>
    <xf numFmtId="0" fontId="3" fillId="7" borderId="0" xfId="0" applyFont="1" applyFill="1" applyAlignment="1">
      <alignment vertical="top"/>
    </xf>
    <xf numFmtId="0" fontId="0" fillId="7" borderId="0" xfId="0" applyFill="1" applyAlignment="1">
      <alignment vertical="top"/>
    </xf>
  </cellXfs>
  <cellStyles count="2">
    <cellStyle name="Standard" xfId="0" builtinId="0"/>
    <cellStyle name="Standard_Ausgangswerte" xfId="1" xr:uid="{00000000-0005-0000-0000-000001000000}"/>
  </cellStyles>
  <dxfs count="48">
    <dxf>
      <font>
        <color theme="5"/>
      </font>
    </dxf>
    <dxf>
      <fill>
        <patternFill>
          <bgColor rgb="FFEFC16D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theme="9" tint="-0.24994659260841701"/>
      </font>
      <fill>
        <patternFill patternType="none">
          <bgColor indexed="65"/>
        </patternFill>
      </fill>
    </dxf>
    <dxf>
      <fill>
        <patternFill>
          <bgColor rgb="FFB6DF89"/>
        </patternFill>
      </fill>
    </dxf>
    <dxf>
      <fill>
        <patternFill>
          <bgColor rgb="FF5DD5FF"/>
        </patternFill>
      </fill>
    </dxf>
    <dxf>
      <font>
        <color rgb="FFFF0000"/>
      </font>
    </dxf>
    <dxf>
      <fill>
        <patternFill>
          <bgColor rgb="FFEFC16D"/>
        </patternFill>
      </fill>
    </dxf>
    <dxf>
      <font>
        <color rgb="FFFF0000"/>
      </font>
    </dxf>
    <dxf>
      <fill>
        <patternFill>
          <bgColor rgb="FFFFC1C1"/>
        </patternFill>
      </fill>
    </dxf>
    <dxf>
      <font>
        <b/>
        <i val="0"/>
        <color rgb="FF339933"/>
      </font>
      <numFmt numFmtId="174" formatCode="#,##0_ ;\-#,##0\ "/>
    </dxf>
    <dxf>
      <font>
        <color rgb="FFFF0000"/>
      </font>
    </dxf>
    <dxf>
      <fill>
        <patternFill>
          <bgColor rgb="FFC2E49C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ont>
        <color rgb="FFFFC00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ont>
        <b/>
        <i val="0"/>
        <color theme="9" tint="-0.24994659260841701"/>
      </font>
      <fill>
        <patternFill patternType="none">
          <bgColor indexed="65"/>
        </patternFill>
      </fill>
    </dxf>
    <dxf>
      <fill>
        <patternFill>
          <bgColor rgb="FFB6DF89"/>
        </patternFill>
      </fill>
    </dxf>
    <dxf>
      <fill>
        <patternFill>
          <bgColor rgb="FF5DD5FF"/>
        </patternFill>
      </fill>
    </dxf>
    <dxf>
      <font>
        <color rgb="FFFF0000"/>
      </font>
    </dxf>
    <dxf>
      <font>
        <color rgb="FFFFC000"/>
      </font>
    </dxf>
    <dxf>
      <font>
        <color rgb="FFFFC000"/>
      </font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ill>
        <patternFill>
          <bgColor rgb="FFFFC1C1"/>
        </patternFill>
      </fill>
    </dxf>
    <dxf>
      <font>
        <b/>
        <i val="0"/>
        <color rgb="FF339933"/>
      </font>
      <numFmt numFmtId="174" formatCode="#,##0_ ;\-#,##0\ "/>
    </dxf>
    <dxf>
      <font>
        <b/>
        <i val="0"/>
        <color theme="9" tint="-0.24994659260841701"/>
      </font>
      <fill>
        <patternFill patternType="none">
          <bgColor indexed="65"/>
        </patternFill>
      </fill>
    </dxf>
    <dxf>
      <fill>
        <patternFill>
          <bgColor rgb="FFB6DF89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P65"/>
  <sheetViews>
    <sheetView showGridLines="0" tabSelected="1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36.140625" customWidth="1"/>
    <col min="2" max="29" width="17.7109375" customWidth="1"/>
  </cols>
  <sheetData>
    <row r="1" spans="1:20" s="2" customFormat="1" ht="23.25" x14ac:dyDescent="0.35">
      <c r="A1" s="172" t="s">
        <v>119</v>
      </c>
      <c r="B1" s="2" t="s">
        <v>146</v>
      </c>
      <c r="C1"/>
      <c r="D1"/>
      <c r="E1"/>
      <c r="F1"/>
      <c r="G1"/>
    </row>
    <row r="2" spans="1:20" s="2" customFormat="1" ht="23.25" x14ac:dyDescent="0.35">
      <c r="B2" s="173" t="s">
        <v>150</v>
      </c>
      <c r="C2"/>
      <c r="D2"/>
      <c r="E2"/>
      <c r="F2"/>
      <c r="G2"/>
      <c r="H2"/>
      <c r="I2"/>
    </row>
    <row r="3" spans="1:20" s="2" customFormat="1" ht="23.25" x14ac:dyDescent="0.35">
      <c r="B3" t="s">
        <v>151</v>
      </c>
      <c r="C3"/>
      <c r="D3"/>
      <c r="E3"/>
      <c r="F3"/>
      <c r="G3"/>
    </row>
    <row r="4" spans="1:20" ht="24.95" customHeight="1" x14ac:dyDescent="0.2">
      <c r="B4" s="242" t="s">
        <v>149</v>
      </c>
      <c r="C4" s="243"/>
      <c r="D4" s="243"/>
      <c r="E4" s="243"/>
      <c r="F4" s="243"/>
    </row>
    <row r="5" spans="1:20" x14ac:dyDescent="0.2">
      <c r="A5" s="13" t="s">
        <v>75</v>
      </c>
      <c r="B5" s="14">
        <v>100</v>
      </c>
      <c r="C5" s="16" t="s">
        <v>76</v>
      </c>
      <c r="D5" s="15"/>
      <c r="E5" s="15"/>
      <c r="F5" s="15"/>
      <c r="G5" s="15"/>
      <c r="H5" s="37"/>
      <c r="I5" s="15"/>
      <c r="J5" s="16"/>
    </row>
    <row r="6" spans="1:20" x14ac:dyDescent="0.2">
      <c r="A6" s="17" t="s">
        <v>77</v>
      </c>
      <c r="B6" s="18">
        <v>1000</v>
      </c>
      <c r="C6" s="23" t="s">
        <v>78</v>
      </c>
      <c r="D6" s="8"/>
      <c r="E6" s="8"/>
      <c r="F6" s="8"/>
      <c r="G6" s="8"/>
      <c r="H6" s="17" t="s">
        <v>93</v>
      </c>
      <c r="I6" s="8"/>
      <c r="J6" s="19"/>
    </row>
    <row r="7" spans="1:20" x14ac:dyDescent="0.2">
      <c r="A7" s="17" t="s">
        <v>79</v>
      </c>
      <c r="B7" s="20">
        <v>12</v>
      </c>
      <c r="C7" s="28" t="s">
        <v>81</v>
      </c>
      <c r="D7" s="9"/>
      <c r="E7" s="9"/>
      <c r="F7" s="10"/>
      <c r="G7" s="10"/>
      <c r="H7" s="40" t="s">
        <v>94</v>
      </c>
      <c r="I7" s="41">
        <v>0.24</v>
      </c>
      <c r="J7" s="42" t="s">
        <v>98</v>
      </c>
      <c r="K7" s="6"/>
      <c r="L7" s="5"/>
      <c r="M7" s="4"/>
      <c r="N7" s="5"/>
      <c r="O7" s="4"/>
      <c r="P7" s="5"/>
      <c r="Q7" s="4"/>
      <c r="R7" s="4"/>
    </row>
    <row r="8" spans="1:20" x14ac:dyDescent="0.2">
      <c r="A8" s="29" t="s">
        <v>85</v>
      </c>
      <c r="B8" s="30">
        <v>100</v>
      </c>
      <c r="C8" s="31" t="s">
        <v>87</v>
      </c>
      <c r="D8" s="30">
        <v>1900</v>
      </c>
      <c r="E8" s="32" t="s">
        <v>89</v>
      </c>
      <c r="F8" s="33">
        <f>B8/D8*100</f>
        <v>5.2631578947368416</v>
      </c>
      <c r="G8" s="31" t="s">
        <v>91</v>
      </c>
      <c r="H8" s="40" t="s">
        <v>95</v>
      </c>
      <c r="I8" s="41">
        <v>0.02</v>
      </c>
      <c r="J8" s="42" t="s">
        <v>98</v>
      </c>
      <c r="K8" s="6"/>
      <c r="L8" s="5"/>
      <c r="M8" s="4"/>
      <c r="N8" s="5"/>
      <c r="O8" s="4"/>
      <c r="P8" s="5"/>
      <c r="Q8" s="4"/>
      <c r="R8" s="4"/>
    </row>
    <row r="9" spans="1:20" x14ac:dyDescent="0.2">
      <c r="A9" s="29" t="s">
        <v>86</v>
      </c>
      <c r="B9" s="30">
        <v>300</v>
      </c>
      <c r="C9" s="31" t="s">
        <v>88</v>
      </c>
      <c r="D9" s="30">
        <v>4900</v>
      </c>
      <c r="E9" s="32" t="s">
        <v>90</v>
      </c>
      <c r="F9" s="33">
        <f>B9/D9*100</f>
        <v>6.1224489795918364</v>
      </c>
      <c r="G9" s="31" t="s">
        <v>91</v>
      </c>
      <c r="H9" s="40" t="s">
        <v>96</v>
      </c>
      <c r="I9" s="41">
        <v>4.1000000000000002E-2</v>
      </c>
      <c r="J9" s="42" t="s">
        <v>98</v>
      </c>
      <c r="K9" s="6"/>
      <c r="L9" s="5"/>
      <c r="M9" s="4"/>
      <c r="N9" s="5"/>
      <c r="O9" s="4"/>
      <c r="P9" s="5"/>
      <c r="Q9" s="4"/>
      <c r="R9" s="4"/>
    </row>
    <row r="10" spans="1:20" x14ac:dyDescent="0.2">
      <c r="A10" s="17" t="s">
        <v>92</v>
      </c>
      <c r="B10" s="22">
        <v>9.5</v>
      </c>
      <c r="C10" s="34" t="s">
        <v>81</v>
      </c>
      <c r="D10" s="18"/>
      <c r="E10" s="11"/>
      <c r="F10" s="12"/>
      <c r="G10" s="21"/>
      <c r="H10" s="40" t="s">
        <v>97</v>
      </c>
      <c r="I10" s="41">
        <v>0.18</v>
      </c>
      <c r="J10" s="42" t="s">
        <v>98</v>
      </c>
      <c r="K10" s="6"/>
      <c r="L10" s="5"/>
      <c r="M10" s="4"/>
      <c r="N10" s="5"/>
      <c r="O10" s="4"/>
      <c r="P10" s="5"/>
      <c r="Q10" s="4"/>
      <c r="R10" s="4"/>
    </row>
    <row r="11" spans="1:20" x14ac:dyDescent="0.2">
      <c r="A11" s="17" t="s">
        <v>80</v>
      </c>
      <c r="B11" s="12">
        <v>40</v>
      </c>
      <c r="C11" s="23" t="s">
        <v>81</v>
      </c>
      <c r="D11" s="9"/>
      <c r="E11" s="9"/>
      <c r="F11" s="10"/>
      <c r="G11" s="10"/>
      <c r="H11" s="40" t="s">
        <v>99</v>
      </c>
      <c r="I11" s="41">
        <v>0.06</v>
      </c>
      <c r="J11" s="42" t="s">
        <v>98</v>
      </c>
      <c r="K11" s="6"/>
      <c r="L11" s="5"/>
      <c r="M11" s="4"/>
      <c r="N11" s="5"/>
      <c r="O11" s="4"/>
      <c r="P11" s="5"/>
      <c r="Q11" s="4"/>
      <c r="R11" s="4"/>
    </row>
    <row r="12" spans="1:20" x14ac:dyDescent="0.2">
      <c r="A12" s="17" t="s">
        <v>82</v>
      </c>
      <c r="B12" s="12">
        <v>30</v>
      </c>
      <c r="C12" s="23" t="s">
        <v>81</v>
      </c>
      <c r="D12" s="9"/>
      <c r="E12" s="9"/>
      <c r="F12" s="10"/>
      <c r="G12" s="10"/>
      <c r="H12" s="40" t="s">
        <v>84</v>
      </c>
      <c r="I12" s="41">
        <v>0.56000000000000005</v>
      </c>
      <c r="J12" s="42" t="s">
        <v>98</v>
      </c>
      <c r="K12" s="6"/>
      <c r="L12" s="5"/>
      <c r="M12" s="4"/>
      <c r="N12" s="5"/>
      <c r="O12" s="4"/>
      <c r="P12" s="5"/>
      <c r="Q12" s="4"/>
      <c r="R12" s="4"/>
    </row>
    <row r="13" spans="1:20" x14ac:dyDescent="0.2">
      <c r="A13" s="17" t="s">
        <v>138</v>
      </c>
      <c r="B13" s="12">
        <v>8.1999999999999993</v>
      </c>
      <c r="C13" s="23" t="s">
        <v>81</v>
      </c>
      <c r="D13" s="9"/>
      <c r="E13" s="9"/>
      <c r="F13" s="10"/>
      <c r="G13" s="10"/>
      <c r="H13" s="235"/>
      <c r="I13" s="236"/>
      <c r="J13" s="237"/>
      <c r="K13" s="6"/>
      <c r="L13" s="5"/>
      <c r="M13" s="4"/>
      <c r="N13" s="5"/>
      <c r="O13" s="4"/>
      <c r="P13" s="5"/>
      <c r="Q13" s="4"/>
      <c r="R13" s="4"/>
    </row>
    <row r="14" spans="1:20" x14ac:dyDescent="0.2">
      <c r="A14" s="17" t="s">
        <v>10</v>
      </c>
      <c r="B14" s="18">
        <v>9200</v>
      </c>
      <c r="C14" s="19" t="s">
        <v>32</v>
      </c>
      <c r="D14" s="9"/>
      <c r="E14" s="9"/>
      <c r="F14" s="10"/>
      <c r="G14" s="10"/>
      <c r="H14" s="38"/>
      <c r="I14" s="10"/>
      <c r="J14" s="36"/>
      <c r="K14" s="6"/>
      <c r="L14" s="5"/>
      <c r="M14" s="4"/>
      <c r="N14" s="5"/>
      <c r="O14" s="4"/>
      <c r="P14" s="5"/>
      <c r="Q14" s="4"/>
      <c r="R14" s="4"/>
    </row>
    <row r="15" spans="1:20" x14ac:dyDescent="0.2">
      <c r="A15" s="24" t="s">
        <v>31</v>
      </c>
      <c r="B15" s="174">
        <v>4000</v>
      </c>
      <c r="C15" s="35" t="s">
        <v>32</v>
      </c>
      <c r="D15" s="25"/>
      <c r="E15" s="26"/>
      <c r="F15" s="27"/>
      <c r="G15" s="27"/>
      <c r="H15" s="39"/>
      <c r="I15" s="26"/>
      <c r="J15" s="28"/>
      <c r="K15" s="3"/>
      <c r="L15" s="6"/>
      <c r="M15" s="6"/>
      <c r="N15" s="5"/>
      <c r="O15" s="4"/>
      <c r="P15" s="5"/>
      <c r="Q15" s="4"/>
      <c r="R15" s="5"/>
      <c r="S15" s="4"/>
      <c r="T15" s="4"/>
    </row>
    <row r="16" spans="1:20" x14ac:dyDescent="0.2">
      <c r="A16" s="1"/>
      <c r="B16" s="1"/>
      <c r="C16" s="1"/>
      <c r="E16" s="3"/>
      <c r="F16" s="6"/>
      <c r="G16" s="6"/>
      <c r="H16" s="3"/>
      <c r="I16" s="3"/>
      <c r="J16" s="3"/>
      <c r="K16" s="3"/>
      <c r="L16" s="6"/>
      <c r="M16" s="6"/>
      <c r="N16" s="5"/>
      <c r="O16" s="4"/>
      <c r="P16" s="5"/>
      <c r="Q16" s="4"/>
      <c r="R16" s="5"/>
      <c r="S16" s="4"/>
      <c r="T16" s="4"/>
    </row>
    <row r="17" spans="1:68" x14ac:dyDescent="0.2">
      <c r="B17" s="3"/>
      <c r="C17" s="3"/>
      <c r="D17" s="6"/>
      <c r="E17" s="6"/>
      <c r="F17" s="3"/>
      <c r="G17" s="3"/>
      <c r="H17" s="3"/>
      <c r="I17" s="3"/>
      <c r="J17" s="6"/>
      <c r="K17" s="6"/>
      <c r="L17" s="5"/>
      <c r="M17" s="4"/>
      <c r="N17" s="5"/>
      <c r="O17" s="4"/>
      <c r="P17" s="5"/>
      <c r="Q17" s="4"/>
      <c r="R17" s="4"/>
    </row>
    <row r="18" spans="1:68" s="1" customFormat="1" x14ac:dyDescent="0.2">
      <c r="A18" s="197" t="s">
        <v>0</v>
      </c>
      <c r="B18" s="198" t="s">
        <v>4</v>
      </c>
      <c r="C18" s="199" t="s">
        <v>37</v>
      </c>
      <c r="D18" s="199" t="s">
        <v>38</v>
      </c>
      <c r="E18" s="200" t="s">
        <v>102</v>
      </c>
      <c r="F18" s="201" t="s">
        <v>104</v>
      </c>
      <c r="G18" s="202" t="s">
        <v>65</v>
      </c>
      <c r="H18" s="199" t="s">
        <v>39</v>
      </c>
      <c r="I18" s="199" t="s">
        <v>40</v>
      </c>
      <c r="J18" s="199" t="s">
        <v>63</v>
      </c>
      <c r="K18" s="203" t="s">
        <v>41</v>
      </c>
      <c r="L18" s="199" t="s">
        <v>42</v>
      </c>
      <c r="M18" s="204" t="s">
        <v>68</v>
      </c>
      <c r="N18" s="199" t="s">
        <v>43</v>
      </c>
      <c r="O18" s="199" t="s">
        <v>44</v>
      </c>
      <c r="P18" s="199" t="s">
        <v>54</v>
      </c>
      <c r="Q18" s="199" t="s">
        <v>55</v>
      </c>
      <c r="R18" s="199" t="s">
        <v>56</v>
      </c>
      <c r="S18" s="199" t="s">
        <v>57</v>
      </c>
      <c r="T18" s="199" t="s">
        <v>45</v>
      </c>
      <c r="U18" s="198" t="s">
        <v>132</v>
      </c>
      <c r="V18" s="198" t="s">
        <v>134</v>
      </c>
      <c r="W18" s="199" t="s">
        <v>46</v>
      </c>
      <c r="X18" s="199" t="s">
        <v>47</v>
      </c>
      <c r="Y18" s="199" t="s">
        <v>48</v>
      </c>
      <c r="Z18" s="199" t="s">
        <v>49</v>
      </c>
      <c r="AA18" s="199" t="s">
        <v>50</v>
      </c>
      <c r="AB18" s="199" t="s">
        <v>51</v>
      </c>
      <c r="AC18" s="205" t="s">
        <v>52</v>
      </c>
    </row>
    <row r="19" spans="1:68" s="1" customFormat="1" x14ac:dyDescent="0.2">
      <c r="A19" s="206"/>
      <c r="B19" s="45"/>
      <c r="C19" s="44" t="s">
        <v>61</v>
      </c>
      <c r="D19" s="44" t="s">
        <v>5</v>
      </c>
      <c r="E19" s="46" t="s">
        <v>101</v>
      </c>
      <c r="F19" s="46" t="s">
        <v>103</v>
      </c>
      <c r="G19" s="44" t="s">
        <v>66</v>
      </c>
      <c r="H19" s="44" t="s">
        <v>62</v>
      </c>
      <c r="I19" s="44" t="s">
        <v>62</v>
      </c>
      <c r="J19" s="44" t="s">
        <v>11</v>
      </c>
      <c r="K19" s="44" t="s">
        <v>8</v>
      </c>
      <c r="L19" s="44" t="s">
        <v>9</v>
      </c>
      <c r="M19" s="44" t="s">
        <v>69</v>
      </c>
      <c r="N19" s="44" t="s">
        <v>14</v>
      </c>
      <c r="O19" s="44" t="s">
        <v>14</v>
      </c>
      <c r="P19" s="44" t="s">
        <v>14</v>
      </c>
      <c r="Q19" s="44" t="s">
        <v>14</v>
      </c>
      <c r="R19" s="44" t="s">
        <v>14</v>
      </c>
      <c r="S19" s="44" t="s">
        <v>14</v>
      </c>
      <c r="T19" s="44" t="s">
        <v>17</v>
      </c>
      <c r="U19" s="44" t="s">
        <v>133</v>
      </c>
      <c r="V19" s="44" t="s">
        <v>135</v>
      </c>
      <c r="W19" s="44" t="s">
        <v>9</v>
      </c>
      <c r="X19" s="44" t="s">
        <v>8</v>
      </c>
      <c r="Y19" s="44" t="s">
        <v>8</v>
      </c>
      <c r="Z19" s="44" t="s">
        <v>9</v>
      </c>
      <c r="AA19" s="44" t="s">
        <v>9</v>
      </c>
      <c r="AB19" s="44" t="s">
        <v>9</v>
      </c>
      <c r="AC19" s="207" t="s">
        <v>9</v>
      </c>
    </row>
    <row r="20" spans="1:68" s="1" customFormat="1" x14ac:dyDescent="0.2">
      <c r="A20" s="206"/>
      <c r="B20" s="44"/>
      <c r="C20" s="44" t="s">
        <v>20</v>
      </c>
      <c r="D20" s="44"/>
      <c r="E20" s="44"/>
      <c r="F20" s="44"/>
      <c r="G20" s="44" t="s">
        <v>67</v>
      </c>
      <c r="H20" s="44" t="s">
        <v>12</v>
      </c>
      <c r="I20" s="44" t="s">
        <v>13</v>
      </c>
      <c r="J20" s="44" t="s">
        <v>13</v>
      </c>
      <c r="K20" s="44"/>
      <c r="L20" s="44"/>
      <c r="M20" s="44" t="s">
        <v>70</v>
      </c>
      <c r="N20" s="44" t="s">
        <v>15</v>
      </c>
      <c r="O20" s="44" t="s">
        <v>15</v>
      </c>
      <c r="P20" s="44" t="s">
        <v>15</v>
      </c>
      <c r="Q20" s="44" t="s">
        <v>15</v>
      </c>
      <c r="R20" s="44" t="s">
        <v>58</v>
      </c>
      <c r="S20" s="44" t="s">
        <v>58</v>
      </c>
      <c r="T20" s="44" t="s">
        <v>18</v>
      </c>
      <c r="U20" s="44" t="s">
        <v>19</v>
      </c>
      <c r="V20" s="44" t="s">
        <v>19</v>
      </c>
      <c r="W20" s="44" t="s">
        <v>20</v>
      </c>
      <c r="X20" s="44" t="s">
        <v>21</v>
      </c>
      <c r="Y20" s="44" t="s">
        <v>21</v>
      </c>
      <c r="Z20" s="44" t="s">
        <v>21</v>
      </c>
      <c r="AA20" s="44" t="s">
        <v>21</v>
      </c>
      <c r="AB20" s="44" t="s">
        <v>20</v>
      </c>
      <c r="AC20" s="207" t="s">
        <v>20</v>
      </c>
    </row>
    <row r="21" spans="1:68" s="1" customFormat="1" x14ac:dyDescent="0.2">
      <c r="A21" s="206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 t="s">
        <v>141</v>
      </c>
      <c r="N21" s="44"/>
      <c r="O21" s="44" t="s">
        <v>16</v>
      </c>
      <c r="P21" s="44" t="s">
        <v>20</v>
      </c>
      <c r="Q21" s="44" t="s">
        <v>20</v>
      </c>
      <c r="R21" s="44" t="s">
        <v>20</v>
      </c>
      <c r="S21" s="44" t="s">
        <v>20</v>
      </c>
      <c r="T21" s="44"/>
      <c r="U21" s="44"/>
      <c r="V21" s="44"/>
      <c r="W21" s="44"/>
      <c r="X21" s="44"/>
      <c r="Y21" s="44" t="s">
        <v>16</v>
      </c>
      <c r="Z21" s="44"/>
      <c r="AA21" s="44" t="s">
        <v>16</v>
      </c>
      <c r="AB21" s="44" t="s">
        <v>21</v>
      </c>
      <c r="AC21" s="207" t="s">
        <v>21</v>
      </c>
    </row>
    <row r="22" spans="1:68" s="1" customFormat="1" x14ac:dyDescent="0.2">
      <c r="A22" s="206"/>
      <c r="B22" s="44"/>
      <c r="C22" s="44"/>
      <c r="D22" s="44"/>
      <c r="E22" s="44"/>
      <c r="F22" s="44" t="s">
        <v>128</v>
      </c>
      <c r="G22" s="44"/>
      <c r="H22" s="44"/>
      <c r="I22" s="44"/>
      <c r="J22" s="44"/>
      <c r="K22" s="44"/>
      <c r="L22" s="44"/>
      <c r="M22" s="44" t="s">
        <v>37</v>
      </c>
      <c r="N22" s="44"/>
      <c r="O22" s="44"/>
      <c r="P22" s="44"/>
      <c r="Q22" s="44" t="s">
        <v>16</v>
      </c>
      <c r="R22" s="44"/>
      <c r="S22" s="44" t="s">
        <v>16</v>
      </c>
      <c r="T22" s="44"/>
      <c r="U22" s="44"/>
      <c r="V22" s="44"/>
      <c r="W22" s="44"/>
      <c r="X22" s="44"/>
      <c r="Y22" s="44"/>
      <c r="Z22" s="44"/>
      <c r="AA22" s="44"/>
      <c r="AB22" s="44"/>
      <c r="AC22" s="207" t="s">
        <v>16</v>
      </c>
    </row>
    <row r="23" spans="1:68" s="1" customFormat="1" x14ac:dyDescent="0.2">
      <c r="A23" s="208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10"/>
    </row>
    <row r="24" spans="1:68" s="1" customFormat="1" x14ac:dyDescent="0.2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 t="s">
        <v>60</v>
      </c>
      <c r="S24" s="44" t="s">
        <v>60</v>
      </c>
      <c r="T24" s="44" t="s">
        <v>64</v>
      </c>
      <c r="U24" s="44"/>
      <c r="V24" s="44"/>
      <c r="W24" s="44"/>
      <c r="X24" s="44" t="s">
        <v>64</v>
      </c>
      <c r="Y24" s="44" t="s">
        <v>64</v>
      </c>
      <c r="Z24" s="44" t="s">
        <v>64</v>
      </c>
      <c r="AA24" s="44" t="s">
        <v>64</v>
      </c>
      <c r="AB24" s="44" t="s">
        <v>64</v>
      </c>
      <c r="AC24" s="44" t="s">
        <v>64</v>
      </c>
    </row>
    <row r="25" spans="1:68" s="1" customFormat="1" x14ac:dyDescent="0.2">
      <c r="A25" s="47" t="s">
        <v>59</v>
      </c>
      <c r="B25" s="48" t="s">
        <v>71</v>
      </c>
      <c r="C25" s="48">
        <v>40</v>
      </c>
      <c r="D25" s="48">
        <v>40</v>
      </c>
      <c r="E25" s="48">
        <v>40</v>
      </c>
      <c r="F25" s="48">
        <v>40</v>
      </c>
      <c r="G25" s="48">
        <v>40</v>
      </c>
      <c r="H25" s="48">
        <v>40</v>
      </c>
      <c r="I25" s="48">
        <v>40</v>
      </c>
      <c r="J25" s="48">
        <v>40</v>
      </c>
      <c r="K25" s="48">
        <v>40</v>
      </c>
      <c r="L25" s="48">
        <v>40</v>
      </c>
      <c r="M25" s="48">
        <v>40</v>
      </c>
      <c r="N25" s="48">
        <v>40</v>
      </c>
      <c r="O25" s="48">
        <v>40</v>
      </c>
      <c r="P25" s="48">
        <v>40</v>
      </c>
      <c r="Q25" s="48">
        <v>40</v>
      </c>
      <c r="R25" s="48">
        <v>40</v>
      </c>
      <c r="S25" s="48">
        <v>40</v>
      </c>
      <c r="T25" s="48">
        <v>40</v>
      </c>
      <c r="U25" s="48">
        <v>40</v>
      </c>
      <c r="V25" s="48">
        <v>40</v>
      </c>
      <c r="W25" s="48">
        <v>40</v>
      </c>
      <c r="X25" s="48">
        <v>40</v>
      </c>
      <c r="Y25" s="48">
        <v>40</v>
      </c>
      <c r="Z25" s="48">
        <v>40</v>
      </c>
      <c r="AA25" s="48">
        <v>40</v>
      </c>
      <c r="AB25" s="48">
        <v>40</v>
      </c>
      <c r="AC25" s="48">
        <v>40</v>
      </c>
    </row>
    <row r="26" spans="1:68" s="1" customFormat="1" x14ac:dyDescent="0.2">
      <c r="A26" s="52" t="s">
        <v>28</v>
      </c>
      <c r="B26" s="53"/>
      <c r="C26" s="54">
        <v>10000</v>
      </c>
      <c r="D26" s="54">
        <v>10000</v>
      </c>
      <c r="E26" s="55">
        <v>10000</v>
      </c>
      <c r="F26" s="55">
        <v>10000</v>
      </c>
      <c r="G26" s="55">
        <v>10000</v>
      </c>
      <c r="H26" s="54">
        <v>10000</v>
      </c>
      <c r="I26" s="54">
        <v>10000</v>
      </c>
      <c r="J26" s="54">
        <v>10000</v>
      </c>
      <c r="K26" s="54">
        <v>10000</v>
      </c>
      <c r="L26" s="54">
        <v>10000</v>
      </c>
      <c r="M26" s="54">
        <v>10000</v>
      </c>
      <c r="N26" s="54">
        <v>10000</v>
      </c>
      <c r="O26" s="54">
        <v>10000</v>
      </c>
      <c r="P26" s="54">
        <v>10000</v>
      </c>
      <c r="Q26" s="54">
        <v>10000</v>
      </c>
      <c r="R26" s="54">
        <v>10000</v>
      </c>
      <c r="S26" s="54">
        <v>10000</v>
      </c>
      <c r="T26" s="54">
        <v>10000</v>
      </c>
      <c r="U26" s="54">
        <v>10000</v>
      </c>
      <c r="V26" s="54">
        <v>10000</v>
      </c>
      <c r="W26" s="54">
        <v>10000</v>
      </c>
      <c r="X26" s="54">
        <v>10000</v>
      </c>
      <c r="Y26" s="54">
        <v>10000</v>
      </c>
      <c r="Z26" s="54">
        <v>10000</v>
      </c>
      <c r="AA26" s="54">
        <v>10000</v>
      </c>
      <c r="AB26" s="54">
        <v>10000</v>
      </c>
      <c r="AC26" s="54">
        <v>10000</v>
      </c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s="1" customFormat="1" x14ac:dyDescent="0.2">
      <c r="A27" s="56" t="s">
        <v>22</v>
      </c>
      <c r="B27" s="57">
        <v>10000</v>
      </c>
      <c r="C27" s="57">
        <v>10000</v>
      </c>
      <c r="D27" s="57">
        <v>17000</v>
      </c>
      <c r="E27" s="58">
        <v>30000</v>
      </c>
      <c r="F27" s="58">
        <v>35000</v>
      </c>
      <c r="G27" s="57">
        <v>42000</v>
      </c>
      <c r="H27" s="57">
        <v>12000</v>
      </c>
      <c r="I27" s="57">
        <v>12000</v>
      </c>
      <c r="J27" s="57">
        <v>12000</v>
      </c>
      <c r="K27" s="57">
        <v>25000</v>
      </c>
      <c r="L27" s="57">
        <v>30900</v>
      </c>
      <c r="M27" s="57">
        <v>10000</v>
      </c>
      <c r="N27" s="57">
        <v>3000</v>
      </c>
      <c r="O27" s="57">
        <v>3000</v>
      </c>
      <c r="P27" s="57">
        <v>2000</v>
      </c>
      <c r="Q27" s="57">
        <v>2000</v>
      </c>
      <c r="R27" s="57">
        <v>3000</v>
      </c>
      <c r="S27" s="57">
        <v>3000</v>
      </c>
      <c r="T27" s="57">
        <v>10000</v>
      </c>
      <c r="U27" s="57">
        <v>30000</v>
      </c>
      <c r="V27" s="57">
        <v>40000</v>
      </c>
      <c r="W27" s="57">
        <v>30900</v>
      </c>
      <c r="X27" s="57">
        <v>25000</v>
      </c>
      <c r="Y27" s="57">
        <v>25000</v>
      </c>
      <c r="Z27" s="57">
        <v>30900</v>
      </c>
      <c r="AA27" s="57">
        <v>30900</v>
      </c>
      <c r="AB27" s="57">
        <v>30900</v>
      </c>
      <c r="AC27" s="57">
        <v>30900</v>
      </c>
    </row>
    <row r="28" spans="1:68" s="1" customFormat="1" x14ac:dyDescent="0.2">
      <c r="A28" s="56" t="s">
        <v>18</v>
      </c>
      <c r="B28" s="57">
        <v>13000</v>
      </c>
      <c r="C28" s="57">
        <v>13000</v>
      </c>
      <c r="D28" s="57"/>
      <c r="E28" s="58"/>
      <c r="F28" s="58"/>
      <c r="G28" s="57"/>
      <c r="H28" s="57">
        <v>9000</v>
      </c>
      <c r="I28" s="57">
        <v>9000</v>
      </c>
      <c r="J28" s="57"/>
      <c r="K28" s="57"/>
      <c r="L28" s="57"/>
      <c r="M28" s="57">
        <v>13000</v>
      </c>
      <c r="N28" s="57"/>
      <c r="O28" s="57"/>
      <c r="P28" s="57">
        <v>9000</v>
      </c>
      <c r="Q28" s="57">
        <v>9000</v>
      </c>
      <c r="R28" s="57">
        <v>9000</v>
      </c>
      <c r="S28" s="57">
        <v>9000</v>
      </c>
      <c r="T28" s="57">
        <v>20000</v>
      </c>
      <c r="U28" s="57"/>
      <c r="V28" s="57"/>
      <c r="W28" s="57">
        <v>13000</v>
      </c>
      <c r="X28" s="57"/>
      <c r="Y28" s="57"/>
      <c r="Z28" s="57"/>
      <c r="AA28" s="57"/>
      <c r="AB28" s="57">
        <v>13000</v>
      </c>
      <c r="AC28" s="57">
        <v>13000</v>
      </c>
    </row>
    <row r="29" spans="1:68" s="1" customFormat="1" x14ac:dyDescent="0.2">
      <c r="A29" s="56" t="s">
        <v>27</v>
      </c>
      <c r="B29" s="57"/>
      <c r="C29" s="57"/>
      <c r="D29" s="57"/>
      <c r="E29" s="58"/>
      <c r="F29" s="58"/>
      <c r="G29" s="57"/>
      <c r="H29" s="57"/>
      <c r="I29" s="57"/>
      <c r="J29" s="57"/>
      <c r="K29" s="57"/>
      <c r="L29" s="57"/>
      <c r="M29" s="57"/>
      <c r="N29" s="57">
        <v>10000</v>
      </c>
      <c r="O29" s="57">
        <v>10000</v>
      </c>
      <c r="P29" s="57">
        <v>10000</v>
      </c>
      <c r="Q29" s="57">
        <v>10000</v>
      </c>
      <c r="R29" s="57">
        <v>10000</v>
      </c>
      <c r="S29" s="57">
        <v>10000</v>
      </c>
      <c r="T29" s="57"/>
      <c r="U29" s="57"/>
      <c r="V29" s="57"/>
      <c r="W29" s="57"/>
      <c r="X29" s="57">
        <v>10000</v>
      </c>
      <c r="Y29" s="57">
        <v>10000</v>
      </c>
      <c r="Z29" s="57">
        <v>10000</v>
      </c>
      <c r="AA29" s="57">
        <v>10000</v>
      </c>
      <c r="AB29" s="57">
        <v>10000</v>
      </c>
      <c r="AC29" s="57">
        <v>10000</v>
      </c>
    </row>
    <row r="30" spans="1:68" s="1" customFormat="1" x14ac:dyDescent="0.2">
      <c r="A30" s="56" t="s">
        <v>23</v>
      </c>
      <c r="B30" s="57">
        <v>1500</v>
      </c>
      <c r="C30" s="57">
        <v>1500</v>
      </c>
      <c r="D30" s="57">
        <v>1500</v>
      </c>
      <c r="E30" s="58">
        <v>1500</v>
      </c>
      <c r="F30" s="58">
        <v>1500</v>
      </c>
      <c r="G30" s="57">
        <v>1500</v>
      </c>
      <c r="H30" s="57"/>
      <c r="I30" s="57"/>
      <c r="J30" s="57"/>
      <c r="K30" s="57"/>
      <c r="L30" s="57"/>
      <c r="M30" s="57">
        <v>1500</v>
      </c>
      <c r="N30" s="57"/>
      <c r="O30" s="57"/>
      <c r="P30" s="57"/>
      <c r="Q30" s="57"/>
      <c r="R30" s="57"/>
      <c r="S30" s="57"/>
      <c r="T30" s="57">
        <v>1500</v>
      </c>
      <c r="U30" s="57">
        <v>1500</v>
      </c>
      <c r="V30" s="57">
        <v>1500</v>
      </c>
      <c r="W30" s="57"/>
      <c r="X30" s="57"/>
      <c r="Y30" s="57"/>
      <c r="Z30" s="57"/>
      <c r="AA30" s="57"/>
      <c r="AB30" s="57"/>
      <c r="AC30" s="57"/>
    </row>
    <row r="31" spans="1:68" s="1" customFormat="1" x14ac:dyDescent="0.2">
      <c r="A31" s="56" t="s">
        <v>24</v>
      </c>
      <c r="B31" s="57">
        <v>2000</v>
      </c>
      <c r="C31" s="57">
        <v>2000</v>
      </c>
      <c r="D31" s="57"/>
      <c r="E31" s="58"/>
      <c r="F31" s="58">
        <v>2000</v>
      </c>
      <c r="G31" s="57">
        <v>2000</v>
      </c>
      <c r="H31" s="57"/>
      <c r="I31" s="57"/>
      <c r="J31" s="57"/>
      <c r="K31" s="57"/>
      <c r="L31" s="57"/>
      <c r="M31" s="57">
        <v>2000</v>
      </c>
      <c r="N31" s="57"/>
      <c r="O31" s="57"/>
      <c r="P31" s="57"/>
      <c r="Q31" s="57"/>
      <c r="R31" s="57"/>
      <c r="S31" s="57"/>
      <c r="T31" s="57"/>
      <c r="U31" s="57">
        <v>2000</v>
      </c>
      <c r="V31" s="57"/>
      <c r="W31" s="57"/>
      <c r="X31" s="57"/>
      <c r="Y31" s="57"/>
      <c r="Z31" s="57"/>
      <c r="AA31" s="57"/>
      <c r="AB31" s="57"/>
      <c r="AC31" s="57"/>
    </row>
    <row r="32" spans="1:68" s="1" customFormat="1" x14ac:dyDescent="0.2">
      <c r="A32" s="56" t="s">
        <v>25</v>
      </c>
      <c r="B32" s="57">
        <v>4000</v>
      </c>
      <c r="C32" s="57">
        <v>4000</v>
      </c>
      <c r="D32" s="57">
        <v>4000</v>
      </c>
      <c r="E32" s="58">
        <v>4000</v>
      </c>
      <c r="F32" s="58">
        <v>4000</v>
      </c>
      <c r="G32" s="57">
        <v>4000</v>
      </c>
      <c r="H32" s="57">
        <v>4000</v>
      </c>
      <c r="I32" s="57">
        <v>4000</v>
      </c>
      <c r="J32" s="57">
        <v>4000</v>
      </c>
      <c r="K32" s="57">
        <v>6000</v>
      </c>
      <c r="L32" s="57">
        <v>6000</v>
      </c>
      <c r="M32" s="57">
        <v>4000</v>
      </c>
      <c r="N32" s="57">
        <v>4000</v>
      </c>
      <c r="O32" s="57">
        <v>4000</v>
      </c>
      <c r="P32" s="57">
        <v>4000</v>
      </c>
      <c r="Q32" s="57">
        <v>4000</v>
      </c>
      <c r="R32" s="57"/>
      <c r="S32" s="57"/>
      <c r="T32" s="57">
        <v>4000</v>
      </c>
      <c r="U32" s="57">
        <v>4000</v>
      </c>
      <c r="V32" s="57">
        <v>4000</v>
      </c>
      <c r="W32" s="57">
        <v>6000</v>
      </c>
      <c r="X32" s="57">
        <v>6000</v>
      </c>
      <c r="Y32" s="57">
        <v>6000</v>
      </c>
      <c r="Z32" s="57">
        <v>6000</v>
      </c>
      <c r="AA32" s="57">
        <v>6000</v>
      </c>
      <c r="AB32" s="57">
        <v>6000</v>
      </c>
      <c r="AC32" s="57">
        <v>6000</v>
      </c>
    </row>
    <row r="33" spans="1:29" s="1" customFormat="1" x14ac:dyDescent="0.2">
      <c r="A33" s="56" t="s">
        <v>26</v>
      </c>
      <c r="B33" s="57">
        <v>6500</v>
      </c>
      <c r="C33" s="57">
        <v>6500</v>
      </c>
      <c r="D33" s="57">
        <v>1500</v>
      </c>
      <c r="E33" s="58">
        <v>1500</v>
      </c>
      <c r="F33" s="58">
        <v>6500</v>
      </c>
      <c r="G33" s="57">
        <v>6500</v>
      </c>
      <c r="H33" s="57">
        <v>6500</v>
      </c>
      <c r="I33" s="57">
        <v>6500</v>
      </c>
      <c r="J33" s="57">
        <v>1500</v>
      </c>
      <c r="K33" s="57">
        <v>6500</v>
      </c>
      <c r="L33" s="57">
        <v>1500</v>
      </c>
      <c r="M33" s="57">
        <v>6500</v>
      </c>
      <c r="N33" s="57">
        <v>10000</v>
      </c>
      <c r="O33" s="57">
        <v>10000</v>
      </c>
      <c r="P33" s="57">
        <v>6500</v>
      </c>
      <c r="Q33" s="57">
        <v>6500</v>
      </c>
      <c r="R33" s="57">
        <v>10000</v>
      </c>
      <c r="S33" s="57">
        <v>10000</v>
      </c>
      <c r="T33" s="57">
        <v>1500</v>
      </c>
      <c r="U33" s="57">
        <v>6500</v>
      </c>
      <c r="V33" s="57">
        <v>6500</v>
      </c>
      <c r="W33" s="57">
        <v>1500</v>
      </c>
      <c r="X33" s="57">
        <v>1500</v>
      </c>
      <c r="Y33" s="57">
        <v>1500</v>
      </c>
      <c r="Z33" s="57">
        <v>1500</v>
      </c>
      <c r="AA33" s="57">
        <v>1500</v>
      </c>
      <c r="AB33" s="57">
        <v>1500</v>
      </c>
      <c r="AC33" s="57">
        <v>1500</v>
      </c>
    </row>
    <row r="34" spans="1:29" s="1" customFormat="1" x14ac:dyDescent="0.2">
      <c r="A34" s="56" t="s">
        <v>144</v>
      </c>
      <c r="B34" s="57"/>
      <c r="C34" s="57"/>
      <c r="D34" s="57"/>
      <c r="E34" s="58"/>
      <c r="F34" s="58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s="1" customFormat="1" x14ac:dyDescent="0.2">
      <c r="A35" s="59" t="s">
        <v>29</v>
      </c>
      <c r="B35" s="60"/>
      <c r="C35" s="60"/>
      <c r="D35" s="60"/>
      <c r="E35" s="61"/>
      <c r="F35" s="61"/>
      <c r="G35" s="60"/>
      <c r="H35" s="60"/>
      <c r="I35" s="60"/>
      <c r="J35" s="60"/>
      <c r="K35" s="60"/>
      <c r="L35" s="60"/>
      <c r="M35" s="60"/>
      <c r="N35" s="60"/>
      <c r="O35" s="60">
        <v>5000</v>
      </c>
      <c r="P35" s="60"/>
      <c r="Q35" s="60">
        <v>5000</v>
      </c>
      <c r="R35" s="60"/>
      <c r="S35" s="60">
        <v>5000</v>
      </c>
      <c r="T35" s="60"/>
      <c r="U35" s="60"/>
      <c r="V35" s="60"/>
      <c r="W35" s="60"/>
      <c r="X35" s="60"/>
      <c r="Y35" s="60">
        <v>5000</v>
      </c>
      <c r="Z35" s="60"/>
      <c r="AA35" s="60">
        <v>5000</v>
      </c>
      <c r="AB35" s="60"/>
      <c r="AC35" s="60">
        <v>5000</v>
      </c>
    </row>
    <row r="36" spans="1:29" s="1" customFormat="1" x14ac:dyDescent="0.2">
      <c r="A36" s="212" t="s">
        <v>1</v>
      </c>
      <c r="B36" s="146">
        <f>SUM(B26:B35)</f>
        <v>37000</v>
      </c>
      <c r="C36" s="146">
        <f>SUM(C26:C35)</f>
        <v>47000</v>
      </c>
      <c r="D36" s="146">
        <f>SUM(D26:D35)</f>
        <v>34000</v>
      </c>
      <c r="E36" s="146">
        <f>SUM(E26:E35)</f>
        <v>47000</v>
      </c>
      <c r="F36" s="146">
        <f>SUM(F26:F35)</f>
        <v>59000</v>
      </c>
      <c r="G36" s="146">
        <f>SUM(G26:G33)</f>
        <v>66000</v>
      </c>
      <c r="H36" s="146">
        <f>SUM(H26:H35)</f>
        <v>41500</v>
      </c>
      <c r="I36" s="146">
        <f>SUM(I26:I35)</f>
        <v>41500</v>
      </c>
      <c r="J36" s="146">
        <f>SUM(J26:J35)</f>
        <v>27500</v>
      </c>
      <c r="K36" s="146">
        <f>SUM(K26:K33)</f>
        <v>47500</v>
      </c>
      <c r="L36" s="146">
        <f>SUM(L26:L35)</f>
        <v>48400</v>
      </c>
      <c r="M36" s="146">
        <f>SUM(M26:M33)</f>
        <v>47000</v>
      </c>
      <c r="N36" s="146">
        <f t="shared" ref="N36:S36" si="0">SUM(N26:N35)</f>
        <v>37000</v>
      </c>
      <c r="O36" s="146">
        <f t="shared" si="0"/>
        <v>42000</v>
      </c>
      <c r="P36" s="146">
        <f t="shared" si="0"/>
        <v>41500</v>
      </c>
      <c r="Q36" s="146">
        <f t="shared" si="0"/>
        <v>46500</v>
      </c>
      <c r="R36" s="146">
        <f t="shared" si="0"/>
        <v>42000</v>
      </c>
      <c r="S36" s="146">
        <f t="shared" si="0"/>
        <v>47000</v>
      </c>
      <c r="T36" s="146">
        <f t="shared" ref="T36:AC36" si="1">SUM(T26:T35)</f>
        <v>47000</v>
      </c>
      <c r="U36" s="146">
        <f>SUM(U26:U35)</f>
        <v>54000</v>
      </c>
      <c r="V36" s="146">
        <f>SUM(V26:V35)</f>
        <v>62000</v>
      </c>
      <c r="W36" s="146">
        <f t="shared" si="1"/>
        <v>61400</v>
      </c>
      <c r="X36" s="146">
        <f t="shared" si="1"/>
        <v>52500</v>
      </c>
      <c r="Y36" s="146">
        <f t="shared" si="1"/>
        <v>57500</v>
      </c>
      <c r="Z36" s="146">
        <f t="shared" si="1"/>
        <v>58400</v>
      </c>
      <c r="AA36" s="146">
        <f t="shared" si="1"/>
        <v>63400</v>
      </c>
      <c r="AB36" s="146">
        <f t="shared" si="1"/>
        <v>71400</v>
      </c>
      <c r="AC36" s="146">
        <f t="shared" si="1"/>
        <v>76400</v>
      </c>
    </row>
    <row r="37" spans="1:29" s="1" customFormat="1" x14ac:dyDescent="0.2">
      <c r="A37" s="56" t="s">
        <v>130</v>
      </c>
      <c r="B37" s="57">
        <v>0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</row>
    <row r="38" spans="1:29" s="1" customFormat="1" x14ac:dyDescent="0.2">
      <c r="A38" s="59" t="s">
        <v>131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x14ac:dyDescent="0.2">
      <c r="A39" s="219" t="s">
        <v>7</v>
      </c>
      <c r="B39" s="220"/>
      <c r="C39" s="220">
        <f>C37+C38</f>
        <v>0</v>
      </c>
      <c r="D39" s="220">
        <f t="shared" ref="D39:AC39" si="2">D37+D38</f>
        <v>0</v>
      </c>
      <c r="E39" s="220">
        <f t="shared" si="2"/>
        <v>0</v>
      </c>
      <c r="F39" s="220">
        <f t="shared" si="2"/>
        <v>0</v>
      </c>
      <c r="G39" s="220">
        <f t="shared" si="2"/>
        <v>0</v>
      </c>
      <c r="H39" s="220">
        <f t="shared" si="2"/>
        <v>0</v>
      </c>
      <c r="I39" s="220">
        <f t="shared" si="2"/>
        <v>0</v>
      </c>
      <c r="J39" s="220">
        <f t="shared" si="2"/>
        <v>0</v>
      </c>
      <c r="K39" s="220">
        <f t="shared" si="2"/>
        <v>0</v>
      </c>
      <c r="L39" s="220">
        <f t="shared" si="2"/>
        <v>0</v>
      </c>
      <c r="M39" s="220">
        <f t="shared" si="2"/>
        <v>0</v>
      </c>
      <c r="N39" s="220">
        <f t="shared" si="2"/>
        <v>0</v>
      </c>
      <c r="O39" s="220">
        <f t="shared" si="2"/>
        <v>0</v>
      </c>
      <c r="P39" s="220">
        <f t="shared" si="2"/>
        <v>0</v>
      </c>
      <c r="Q39" s="220">
        <f t="shared" si="2"/>
        <v>0</v>
      </c>
      <c r="R39" s="220">
        <f t="shared" si="2"/>
        <v>0</v>
      </c>
      <c r="S39" s="220">
        <f t="shared" si="2"/>
        <v>0</v>
      </c>
      <c r="T39" s="220">
        <f t="shared" si="2"/>
        <v>0</v>
      </c>
      <c r="U39" s="220">
        <f>U37+U38</f>
        <v>0</v>
      </c>
      <c r="V39" s="220">
        <f>V37+V38</f>
        <v>0</v>
      </c>
      <c r="W39" s="220">
        <f t="shared" si="2"/>
        <v>0</v>
      </c>
      <c r="X39" s="220">
        <f t="shared" si="2"/>
        <v>0</v>
      </c>
      <c r="Y39" s="220">
        <f t="shared" si="2"/>
        <v>0</v>
      </c>
      <c r="Z39" s="220">
        <f t="shared" si="2"/>
        <v>0</v>
      </c>
      <c r="AA39" s="220">
        <f t="shared" si="2"/>
        <v>0</v>
      </c>
      <c r="AB39" s="220">
        <f t="shared" si="2"/>
        <v>0</v>
      </c>
      <c r="AC39" s="220">
        <f t="shared" si="2"/>
        <v>0</v>
      </c>
    </row>
    <row r="40" spans="1:29" x14ac:dyDescent="0.2">
      <c r="A40" s="62" t="s">
        <v>30</v>
      </c>
      <c r="B40" s="63">
        <f t="shared" ref="B40:AC40" si="3">B36-B39</f>
        <v>37000</v>
      </c>
      <c r="C40" s="63">
        <f t="shared" si="3"/>
        <v>47000</v>
      </c>
      <c r="D40" s="63">
        <f t="shared" si="3"/>
        <v>34000</v>
      </c>
      <c r="E40" s="63">
        <f t="shared" si="3"/>
        <v>47000</v>
      </c>
      <c r="F40" s="63">
        <f t="shared" si="3"/>
        <v>59000</v>
      </c>
      <c r="G40" s="63">
        <f t="shared" si="3"/>
        <v>66000</v>
      </c>
      <c r="H40" s="63">
        <f t="shared" si="3"/>
        <v>41500</v>
      </c>
      <c r="I40" s="63">
        <f t="shared" si="3"/>
        <v>41500</v>
      </c>
      <c r="J40" s="63">
        <f t="shared" si="3"/>
        <v>27500</v>
      </c>
      <c r="K40" s="63">
        <f t="shared" si="3"/>
        <v>47500</v>
      </c>
      <c r="L40" s="63">
        <f t="shared" si="3"/>
        <v>48400</v>
      </c>
      <c r="M40" s="63">
        <f t="shared" si="3"/>
        <v>47000</v>
      </c>
      <c r="N40" s="63">
        <f t="shared" si="3"/>
        <v>37000</v>
      </c>
      <c r="O40" s="63">
        <f t="shared" si="3"/>
        <v>42000</v>
      </c>
      <c r="P40" s="63">
        <f t="shared" si="3"/>
        <v>41500</v>
      </c>
      <c r="Q40" s="63">
        <f t="shared" si="3"/>
        <v>46500</v>
      </c>
      <c r="R40" s="63">
        <f t="shared" si="3"/>
        <v>42000</v>
      </c>
      <c r="S40" s="63">
        <f t="shared" si="3"/>
        <v>47000</v>
      </c>
      <c r="T40" s="63">
        <f t="shared" si="3"/>
        <v>47000</v>
      </c>
      <c r="U40" s="63">
        <f t="shared" si="3"/>
        <v>54000</v>
      </c>
      <c r="V40" s="63">
        <f t="shared" si="3"/>
        <v>62000</v>
      </c>
      <c r="W40" s="63">
        <f t="shared" si="3"/>
        <v>61400</v>
      </c>
      <c r="X40" s="63">
        <f t="shared" si="3"/>
        <v>52500</v>
      </c>
      <c r="Y40" s="63">
        <f t="shared" si="3"/>
        <v>57500</v>
      </c>
      <c r="Z40" s="63">
        <f t="shared" si="3"/>
        <v>58400</v>
      </c>
      <c r="AA40" s="63">
        <f t="shared" si="3"/>
        <v>63400</v>
      </c>
      <c r="AB40" s="63">
        <f t="shared" si="3"/>
        <v>71400</v>
      </c>
      <c r="AC40" s="63">
        <f t="shared" si="3"/>
        <v>76400</v>
      </c>
    </row>
    <row r="41" spans="1:29" x14ac:dyDescent="0.2">
      <c r="A41" s="212" t="s">
        <v>105</v>
      </c>
      <c r="B41" s="149">
        <v>0</v>
      </c>
      <c r="C41" s="149">
        <f>C40-$B$40</f>
        <v>10000</v>
      </c>
      <c r="D41" s="149">
        <f t="shared" ref="D41:AC41" si="4">D40-$B$40</f>
        <v>-3000</v>
      </c>
      <c r="E41" s="149">
        <f t="shared" si="4"/>
        <v>10000</v>
      </c>
      <c r="F41" s="149">
        <f t="shared" si="4"/>
        <v>22000</v>
      </c>
      <c r="G41" s="149">
        <f t="shared" si="4"/>
        <v>29000</v>
      </c>
      <c r="H41" s="149">
        <f t="shared" si="4"/>
        <v>4500</v>
      </c>
      <c r="I41" s="149">
        <f t="shared" si="4"/>
        <v>4500</v>
      </c>
      <c r="J41" s="149">
        <f t="shared" si="4"/>
        <v>-9500</v>
      </c>
      <c r="K41" s="149">
        <f t="shared" si="4"/>
        <v>10500</v>
      </c>
      <c r="L41" s="149">
        <f t="shared" si="4"/>
        <v>11400</v>
      </c>
      <c r="M41" s="149">
        <f t="shared" si="4"/>
        <v>10000</v>
      </c>
      <c r="N41" s="149">
        <f t="shared" si="4"/>
        <v>0</v>
      </c>
      <c r="O41" s="149">
        <f t="shared" si="4"/>
        <v>5000</v>
      </c>
      <c r="P41" s="149">
        <f t="shared" si="4"/>
        <v>4500</v>
      </c>
      <c r="Q41" s="149">
        <f t="shared" si="4"/>
        <v>9500</v>
      </c>
      <c r="R41" s="149">
        <f t="shared" si="4"/>
        <v>5000</v>
      </c>
      <c r="S41" s="149">
        <f t="shared" si="4"/>
        <v>10000</v>
      </c>
      <c r="T41" s="149">
        <f t="shared" si="4"/>
        <v>10000</v>
      </c>
      <c r="U41" s="149">
        <f t="shared" si="4"/>
        <v>17000</v>
      </c>
      <c r="V41" s="149">
        <f t="shared" si="4"/>
        <v>25000</v>
      </c>
      <c r="W41" s="149">
        <f t="shared" si="4"/>
        <v>24400</v>
      </c>
      <c r="X41" s="149">
        <f t="shared" si="4"/>
        <v>15500</v>
      </c>
      <c r="Y41" s="149">
        <f t="shared" si="4"/>
        <v>20500</v>
      </c>
      <c r="Z41" s="149">
        <f t="shared" si="4"/>
        <v>21400</v>
      </c>
      <c r="AA41" s="149">
        <f t="shared" si="4"/>
        <v>26400</v>
      </c>
      <c r="AB41" s="149">
        <f t="shared" si="4"/>
        <v>34400</v>
      </c>
      <c r="AC41" s="149">
        <f t="shared" si="4"/>
        <v>39400</v>
      </c>
    </row>
    <row r="42" spans="1:29" x14ac:dyDescent="0.2">
      <c r="A42" s="64" t="s">
        <v>106</v>
      </c>
      <c r="B42" s="65">
        <v>4550</v>
      </c>
      <c r="C42" s="65">
        <v>1490</v>
      </c>
      <c r="D42" s="65">
        <v>11210</v>
      </c>
      <c r="E42" s="65">
        <v>8760</v>
      </c>
      <c r="F42" s="65">
        <v>4360</v>
      </c>
      <c r="G42" s="65">
        <v>4750</v>
      </c>
      <c r="H42" s="65">
        <v>3110</v>
      </c>
      <c r="I42" s="65">
        <v>3110</v>
      </c>
      <c r="J42" s="65">
        <v>6790</v>
      </c>
      <c r="K42" s="65">
        <v>895</v>
      </c>
      <c r="L42" s="65">
        <v>1010</v>
      </c>
      <c r="M42" s="65">
        <v>1490</v>
      </c>
      <c r="N42" s="65"/>
      <c r="O42" s="65"/>
      <c r="P42" s="65"/>
      <c r="Q42" s="65"/>
      <c r="R42" s="65"/>
      <c r="S42" s="65"/>
      <c r="T42" s="65">
        <v>4380</v>
      </c>
      <c r="U42" s="65">
        <v>490</v>
      </c>
      <c r="V42" s="65">
        <v>540</v>
      </c>
      <c r="W42" s="65">
        <v>590</v>
      </c>
      <c r="X42" s="65"/>
      <c r="Y42" s="65"/>
      <c r="Z42" s="65"/>
      <c r="AA42" s="65"/>
      <c r="AB42" s="65"/>
      <c r="AC42" s="65"/>
    </row>
    <row r="43" spans="1:29" x14ac:dyDescent="0.2">
      <c r="A43" s="66" t="s">
        <v>107</v>
      </c>
      <c r="B43" s="67">
        <v>540</v>
      </c>
      <c r="C43" s="67">
        <v>640</v>
      </c>
      <c r="D43" s="67">
        <v>370</v>
      </c>
      <c r="E43" s="67">
        <v>590</v>
      </c>
      <c r="F43" s="67">
        <v>0</v>
      </c>
      <c r="G43" s="67">
        <v>0</v>
      </c>
      <c r="H43" s="67">
        <v>580</v>
      </c>
      <c r="I43" s="67">
        <v>580</v>
      </c>
      <c r="J43" s="67">
        <v>390</v>
      </c>
      <c r="K43" s="67">
        <v>715</v>
      </c>
      <c r="L43" s="67">
        <v>710</v>
      </c>
      <c r="M43" s="67">
        <v>640</v>
      </c>
      <c r="N43" s="67">
        <v>1540</v>
      </c>
      <c r="O43" s="67">
        <v>1540</v>
      </c>
      <c r="P43" s="67">
        <v>1770</v>
      </c>
      <c r="Q43" s="67">
        <v>1770</v>
      </c>
      <c r="R43" s="67">
        <v>950</v>
      </c>
      <c r="S43" s="67">
        <v>950</v>
      </c>
      <c r="T43" s="67">
        <v>430</v>
      </c>
      <c r="U43" s="67">
        <v>1450</v>
      </c>
      <c r="V43" s="67">
        <v>1450</v>
      </c>
      <c r="W43" s="67">
        <v>750</v>
      </c>
      <c r="X43" s="67">
        <v>1170</v>
      </c>
      <c r="Y43" s="67">
        <v>1170</v>
      </c>
      <c r="Z43" s="67">
        <v>1040</v>
      </c>
      <c r="AA43" s="67">
        <v>1040</v>
      </c>
      <c r="AB43" s="67">
        <v>610</v>
      </c>
      <c r="AC43" s="67">
        <v>610</v>
      </c>
    </row>
    <row r="44" spans="1:29" x14ac:dyDescent="0.2">
      <c r="A44" s="66" t="s">
        <v>74</v>
      </c>
      <c r="B44" s="67">
        <f>B42+B43</f>
        <v>5090</v>
      </c>
      <c r="C44" s="67">
        <f>C42+C43</f>
        <v>2130</v>
      </c>
      <c r="D44" s="67">
        <f t="shared" ref="D44:AC44" si="5">D42+D43</f>
        <v>11580</v>
      </c>
      <c r="E44" s="67">
        <f t="shared" si="5"/>
        <v>9350</v>
      </c>
      <c r="F44" s="67">
        <f t="shared" si="5"/>
        <v>4360</v>
      </c>
      <c r="G44" s="67">
        <f t="shared" si="5"/>
        <v>4750</v>
      </c>
      <c r="H44" s="67">
        <f t="shared" si="5"/>
        <v>3690</v>
      </c>
      <c r="I44" s="67">
        <f t="shared" si="5"/>
        <v>3690</v>
      </c>
      <c r="J44" s="67">
        <f t="shared" si="5"/>
        <v>7180</v>
      </c>
      <c r="K44" s="67">
        <f t="shared" si="5"/>
        <v>1610</v>
      </c>
      <c r="L44" s="67">
        <f t="shared" si="5"/>
        <v>1720</v>
      </c>
      <c r="M44" s="67">
        <f t="shared" si="5"/>
        <v>2130</v>
      </c>
      <c r="N44" s="67">
        <f t="shared" si="5"/>
        <v>1540</v>
      </c>
      <c r="O44" s="67">
        <f t="shared" si="5"/>
        <v>1540</v>
      </c>
      <c r="P44" s="67">
        <f t="shared" si="5"/>
        <v>1770</v>
      </c>
      <c r="Q44" s="67">
        <f t="shared" si="5"/>
        <v>1770</v>
      </c>
      <c r="R44" s="67">
        <f t="shared" si="5"/>
        <v>950</v>
      </c>
      <c r="S44" s="67">
        <f t="shared" si="5"/>
        <v>950</v>
      </c>
      <c r="T44" s="67">
        <f t="shared" si="5"/>
        <v>4810</v>
      </c>
      <c r="U44" s="67">
        <f t="shared" si="5"/>
        <v>1940</v>
      </c>
      <c r="V44" s="67">
        <f t="shared" si="5"/>
        <v>1990</v>
      </c>
      <c r="W44" s="67">
        <f t="shared" si="5"/>
        <v>1340</v>
      </c>
      <c r="X44" s="67">
        <f t="shared" si="5"/>
        <v>1170</v>
      </c>
      <c r="Y44" s="67">
        <f t="shared" si="5"/>
        <v>1170</v>
      </c>
      <c r="Z44" s="67">
        <f t="shared" si="5"/>
        <v>1040</v>
      </c>
      <c r="AA44" s="67">
        <f t="shared" si="5"/>
        <v>1040</v>
      </c>
      <c r="AB44" s="67">
        <f t="shared" si="5"/>
        <v>610</v>
      </c>
      <c r="AC44" s="67">
        <f t="shared" si="5"/>
        <v>610</v>
      </c>
    </row>
    <row r="45" spans="1:29" x14ac:dyDescent="0.2">
      <c r="A45" s="66" t="s">
        <v>108</v>
      </c>
      <c r="B45" s="68">
        <f>10*ROUND((B42*$B$7+B43*$B$11)/1000,0)</f>
        <v>760</v>
      </c>
      <c r="C45" s="68">
        <f>10*ROUNDUP((C42*$B$7+C43*$B$11)/1000,0)</f>
        <v>440</v>
      </c>
      <c r="D45" s="68">
        <f>10*ROUND((D42*$F$8+D43*$B$11)/1000,0)</f>
        <v>740</v>
      </c>
      <c r="E45" s="68">
        <f>10*ROUND((E42*$F$9+E43*$B$11)/1000,0)</f>
        <v>770</v>
      </c>
      <c r="F45" s="68">
        <f>10*ROUND((F42*$B$7+F43*$B$11)/1000,0)</f>
        <v>520</v>
      </c>
      <c r="G45" s="68">
        <f>10*ROUND((G42*$B$7+G43*$B$11)/1000,0)</f>
        <v>570</v>
      </c>
      <c r="H45" s="68">
        <f>10*ROUND((H42*$B$10+H43*$B$11)/1000,0)</f>
        <v>530</v>
      </c>
      <c r="I45" s="68">
        <f>10*ROUND((I42*$B$10+I43*$B$11)/1000,0)</f>
        <v>530</v>
      </c>
      <c r="J45" s="68">
        <f>10*ROUND((J42*$B$10+J43*$B$11)/1000,0)</f>
        <v>800</v>
      </c>
      <c r="K45" s="68">
        <f>10*ROUNDUP((K42*$B$12+K43*$B$11)/1000,0)</f>
        <v>560</v>
      </c>
      <c r="L45" s="68">
        <f>10*ROUNDDOWN((L42*$B$12+L43*$B$11)/1000,0)</f>
        <v>580</v>
      </c>
      <c r="M45" s="68">
        <f>10*ROUNDUP((M42*$B$7+M43*$B$11)/1000,0)</f>
        <v>440</v>
      </c>
      <c r="N45" s="68">
        <f t="shared" ref="N45:S45" si="6">10*ROUND((N42*$B$7+N43*$B$11)/1000,0)</f>
        <v>620</v>
      </c>
      <c r="O45" s="68">
        <f t="shared" si="6"/>
        <v>620</v>
      </c>
      <c r="P45" s="68">
        <f t="shared" si="6"/>
        <v>710</v>
      </c>
      <c r="Q45" s="68">
        <f t="shared" si="6"/>
        <v>710</v>
      </c>
      <c r="R45" s="68">
        <f t="shared" si="6"/>
        <v>380</v>
      </c>
      <c r="S45" s="68">
        <f t="shared" si="6"/>
        <v>380</v>
      </c>
      <c r="T45" s="68">
        <f>10*ROUND((T42*$F$8+T43*$B$11)/1000,0)</f>
        <v>400</v>
      </c>
      <c r="U45" s="68">
        <f>10*ROUND((U42*$B$7+U43*$B$12*1.05)/1000,0)</f>
        <v>520</v>
      </c>
      <c r="V45" s="68">
        <f>10*ROUND((V42*$F$9+V43*$B$12*1.05)/1000,0)</f>
        <v>490</v>
      </c>
      <c r="W45" s="68">
        <f t="shared" ref="W45:AC45" si="7">10*ROUND((W42*$B$12+W43*$B$11)/1000,0)</f>
        <v>480</v>
      </c>
      <c r="X45" s="68">
        <f t="shared" si="7"/>
        <v>470</v>
      </c>
      <c r="Y45" s="68">
        <f t="shared" si="7"/>
        <v>470</v>
      </c>
      <c r="Z45" s="68">
        <f t="shared" si="7"/>
        <v>420</v>
      </c>
      <c r="AA45" s="68">
        <f t="shared" si="7"/>
        <v>420</v>
      </c>
      <c r="AB45" s="68">
        <f t="shared" si="7"/>
        <v>240</v>
      </c>
      <c r="AC45" s="68">
        <f t="shared" si="7"/>
        <v>240</v>
      </c>
    </row>
    <row r="46" spans="1:29" x14ac:dyDescent="0.2">
      <c r="A46" s="66" t="s">
        <v>109</v>
      </c>
      <c r="B46" s="67">
        <v>0</v>
      </c>
      <c r="C46" s="67">
        <v>0</v>
      </c>
      <c r="D46" s="67">
        <v>0</v>
      </c>
      <c r="E46" s="67">
        <v>0</v>
      </c>
      <c r="F46" s="67">
        <v>1120</v>
      </c>
      <c r="G46" s="67">
        <v>1470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2500</v>
      </c>
      <c r="O46" s="67">
        <v>2500</v>
      </c>
      <c r="P46" s="67">
        <v>3600</v>
      </c>
      <c r="Q46" s="67">
        <v>3600</v>
      </c>
      <c r="R46" s="67">
        <v>3630</v>
      </c>
      <c r="S46" s="67">
        <v>3630</v>
      </c>
      <c r="T46" s="67">
        <v>0</v>
      </c>
      <c r="U46" s="67">
        <v>0</v>
      </c>
      <c r="V46" s="67">
        <v>0</v>
      </c>
      <c r="W46" s="67">
        <v>0</v>
      </c>
      <c r="X46" s="67">
        <v>3540</v>
      </c>
      <c r="Y46" s="67">
        <v>3540</v>
      </c>
      <c r="Z46" s="67">
        <v>3570</v>
      </c>
      <c r="AA46" s="67">
        <v>3570</v>
      </c>
      <c r="AB46" s="67">
        <v>4060</v>
      </c>
      <c r="AC46" s="67">
        <v>4060</v>
      </c>
    </row>
    <row r="47" spans="1:29" x14ac:dyDescent="0.2">
      <c r="A47" s="66" t="s">
        <v>110</v>
      </c>
      <c r="B47" s="67">
        <v>0</v>
      </c>
      <c r="C47" s="67">
        <v>0</v>
      </c>
      <c r="D47" s="67">
        <v>0</v>
      </c>
      <c r="E47" s="67">
        <v>0</v>
      </c>
      <c r="F47" s="67">
        <v>780</v>
      </c>
      <c r="G47" s="67">
        <v>730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750</v>
      </c>
      <c r="O47" s="67">
        <v>1500</v>
      </c>
      <c r="P47" s="67">
        <v>1080</v>
      </c>
      <c r="Q47" s="67">
        <v>2160</v>
      </c>
      <c r="R47" s="67">
        <v>1090</v>
      </c>
      <c r="S47" s="67">
        <v>2180</v>
      </c>
      <c r="T47" s="67">
        <v>0</v>
      </c>
      <c r="U47" s="67">
        <v>0</v>
      </c>
      <c r="V47" s="67">
        <v>0</v>
      </c>
      <c r="W47" s="67">
        <v>0</v>
      </c>
      <c r="X47" s="67">
        <v>1060</v>
      </c>
      <c r="Y47" s="67">
        <v>2120</v>
      </c>
      <c r="Z47" s="67">
        <v>1070</v>
      </c>
      <c r="AA47" s="67">
        <v>2140</v>
      </c>
      <c r="AB47" s="67">
        <v>1220</v>
      </c>
      <c r="AC47" s="67">
        <v>2440</v>
      </c>
    </row>
    <row r="48" spans="1:29" x14ac:dyDescent="0.2">
      <c r="A48" s="69" t="s">
        <v>111</v>
      </c>
      <c r="B48" s="70">
        <v>0</v>
      </c>
      <c r="C48" s="70">
        <v>0</v>
      </c>
      <c r="D48" s="70">
        <v>0</v>
      </c>
      <c r="E48" s="70">
        <v>0</v>
      </c>
      <c r="F48" s="70">
        <f>10*ROUND(((F46-F47)*0.2+F47*($B$11+8)/100)/10,0)</f>
        <v>440</v>
      </c>
      <c r="G48" s="70">
        <f>10*ROUND(((G46-G47)*0.04+G47*($B$11)/100)/10,0)</f>
        <v>320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f>10*ROUND(((N46-N47)*$B$13/100+N47*$B$11/100)/10,0)</f>
        <v>440</v>
      </c>
      <c r="O48" s="70">
        <f t="shared" ref="O48:AC48" si="8">10*ROUND(((O46-O47)*$B$13/100+O47*$B$11/100)/10,0)</f>
        <v>680</v>
      </c>
      <c r="P48" s="70">
        <f t="shared" si="8"/>
        <v>640</v>
      </c>
      <c r="Q48" s="70">
        <f t="shared" si="8"/>
        <v>980</v>
      </c>
      <c r="R48" s="70">
        <f t="shared" si="8"/>
        <v>640</v>
      </c>
      <c r="S48" s="70">
        <f t="shared" si="8"/>
        <v>990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630</v>
      </c>
      <c r="Y48" s="70">
        <f t="shared" si="8"/>
        <v>960</v>
      </c>
      <c r="Z48" s="70">
        <f t="shared" si="8"/>
        <v>630</v>
      </c>
      <c r="AA48" s="70">
        <f t="shared" si="8"/>
        <v>970</v>
      </c>
      <c r="AB48" s="70">
        <f t="shared" si="8"/>
        <v>720</v>
      </c>
      <c r="AC48" s="70">
        <f t="shared" si="8"/>
        <v>1110</v>
      </c>
    </row>
    <row r="49" spans="1:32" x14ac:dyDescent="0.2">
      <c r="A49" s="59" t="s">
        <v>112</v>
      </c>
      <c r="B49" s="60">
        <v>200</v>
      </c>
      <c r="C49" s="60">
        <v>200</v>
      </c>
      <c r="D49" s="60">
        <v>400</v>
      </c>
      <c r="E49" s="60">
        <v>400</v>
      </c>
      <c r="F49" s="60">
        <v>400</v>
      </c>
      <c r="G49" s="60">
        <v>400</v>
      </c>
      <c r="H49" s="60">
        <v>0</v>
      </c>
      <c r="I49" s="60">
        <v>0</v>
      </c>
      <c r="J49" s="60">
        <v>0</v>
      </c>
      <c r="K49" s="60">
        <v>50</v>
      </c>
      <c r="L49" s="60">
        <v>50</v>
      </c>
      <c r="M49" s="60">
        <v>200</v>
      </c>
      <c r="N49" s="60">
        <v>150</v>
      </c>
      <c r="O49" s="60">
        <v>280</v>
      </c>
      <c r="P49" s="60">
        <v>150</v>
      </c>
      <c r="Q49" s="60">
        <v>280</v>
      </c>
      <c r="R49" s="60">
        <v>150</v>
      </c>
      <c r="S49" s="60">
        <v>280</v>
      </c>
      <c r="T49" s="60">
        <v>200</v>
      </c>
      <c r="U49" s="60">
        <v>200</v>
      </c>
      <c r="V49" s="60">
        <v>400</v>
      </c>
      <c r="W49" s="60">
        <v>100</v>
      </c>
      <c r="X49" s="60">
        <v>200</v>
      </c>
      <c r="Y49" s="60">
        <v>330</v>
      </c>
      <c r="Z49" s="60">
        <v>200</v>
      </c>
      <c r="AA49" s="60">
        <v>330</v>
      </c>
      <c r="AB49" s="60">
        <v>250</v>
      </c>
      <c r="AC49" s="60">
        <v>380</v>
      </c>
    </row>
    <row r="50" spans="1:32" x14ac:dyDescent="0.2">
      <c r="A50" s="213" t="s">
        <v>113</v>
      </c>
      <c r="B50" s="234">
        <f>B45+B49-B48</f>
        <v>960</v>
      </c>
      <c r="C50" s="234">
        <f>C45+C49-C48</f>
        <v>640</v>
      </c>
      <c r="D50" s="234">
        <f t="shared" ref="D50:AC50" si="9">D45+D49-D48</f>
        <v>1140</v>
      </c>
      <c r="E50" s="234">
        <f t="shared" si="9"/>
        <v>1170</v>
      </c>
      <c r="F50" s="234">
        <f t="shared" si="9"/>
        <v>480</v>
      </c>
      <c r="G50" s="234">
        <f t="shared" si="9"/>
        <v>650</v>
      </c>
      <c r="H50" s="234">
        <f t="shared" si="9"/>
        <v>530</v>
      </c>
      <c r="I50" s="234">
        <f t="shared" si="9"/>
        <v>530</v>
      </c>
      <c r="J50" s="234">
        <f t="shared" si="9"/>
        <v>800</v>
      </c>
      <c r="K50" s="234">
        <f t="shared" si="9"/>
        <v>610</v>
      </c>
      <c r="L50" s="234">
        <f t="shared" si="9"/>
        <v>630</v>
      </c>
      <c r="M50" s="234">
        <f t="shared" si="9"/>
        <v>640</v>
      </c>
      <c r="N50" s="234">
        <f t="shared" si="9"/>
        <v>330</v>
      </c>
      <c r="O50" s="234">
        <f t="shared" si="9"/>
        <v>220</v>
      </c>
      <c r="P50" s="234">
        <f>P45+P49-P48</f>
        <v>220</v>
      </c>
      <c r="Q50" s="234">
        <f>Q45+Q49-Q48</f>
        <v>10</v>
      </c>
      <c r="R50" s="234">
        <f>R45+R49-R48</f>
        <v>-110</v>
      </c>
      <c r="S50" s="234">
        <f>S45+S49-S48</f>
        <v>-330</v>
      </c>
      <c r="T50" s="234">
        <f t="shared" si="9"/>
        <v>600</v>
      </c>
      <c r="U50" s="234">
        <f t="shared" si="9"/>
        <v>720</v>
      </c>
      <c r="V50" s="234">
        <f t="shared" si="9"/>
        <v>890</v>
      </c>
      <c r="W50" s="234">
        <f t="shared" si="9"/>
        <v>580</v>
      </c>
      <c r="X50" s="234">
        <f>X45+X49-X48</f>
        <v>40</v>
      </c>
      <c r="Y50" s="234">
        <f>Y45+Y49-Y48</f>
        <v>-160</v>
      </c>
      <c r="Z50" s="234">
        <f t="shared" si="9"/>
        <v>-10</v>
      </c>
      <c r="AA50" s="234">
        <f t="shared" si="9"/>
        <v>-220</v>
      </c>
      <c r="AB50" s="234">
        <f t="shared" si="9"/>
        <v>-230</v>
      </c>
      <c r="AC50" s="234">
        <f t="shared" si="9"/>
        <v>-490</v>
      </c>
      <c r="AF50" s="241">
        <f>$B$50</f>
        <v>960</v>
      </c>
    </row>
    <row r="51" spans="1:32" x14ac:dyDescent="0.2">
      <c r="A51" s="212" t="s">
        <v>2</v>
      </c>
      <c r="B51" s="214">
        <v>0</v>
      </c>
      <c r="C51" s="214">
        <f>-C41-20*(C50-$B$50)</f>
        <v>-3600</v>
      </c>
      <c r="D51" s="214">
        <f>-D41-20*(D50-$B$50)</f>
        <v>-600</v>
      </c>
      <c r="E51" s="214">
        <f>-E41-20*(E50-$B$50)</f>
        <v>-14200</v>
      </c>
      <c r="F51" s="214">
        <f>IF((30000/F46&gt;20),-F41-20*(F50-$B$50),-F41-20*(F50-$B$50)-ROUND((20-30000/F46),0)*10*ROUND((0.16*(F46-F47)+0.08*F47)/10,0))</f>
        <v>-12400</v>
      </c>
      <c r="G51" s="214">
        <f>-G41-20*(G50-$B$50)</f>
        <v>-22800</v>
      </c>
      <c r="H51" s="214">
        <f t="shared" ref="H51:AC51" si="10">-H41-20*(H50-$B$50)</f>
        <v>4100</v>
      </c>
      <c r="I51" s="214">
        <f t="shared" si="10"/>
        <v>4100</v>
      </c>
      <c r="J51" s="214">
        <f t="shared" si="10"/>
        <v>12700</v>
      </c>
      <c r="K51" s="214">
        <f t="shared" si="10"/>
        <v>-3500</v>
      </c>
      <c r="L51" s="214">
        <f t="shared" si="10"/>
        <v>-4800</v>
      </c>
      <c r="M51" s="214">
        <f t="shared" si="10"/>
        <v>-3600</v>
      </c>
      <c r="N51" s="214">
        <f t="shared" si="10"/>
        <v>12600</v>
      </c>
      <c r="O51" s="214">
        <f t="shared" si="10"/>
        <v>9800</v>
      </c>
      <c r="P51" s="214">
        <f t="shared" si="10"/>
        <v>10300</v>
      </c>
      <c r="Q51" s="214">
        <f t="shared" si="10"/>
        <v>9500</v>
      </c>
      <c r="R51" s="214">
        <f t="shared" si="10"/>
        <v>16400</v>
      </c>
      <c r="S51" s="214">
        <f t="shared" si="10"/>
        <v>15800</v>
      </c>
      <c r="T51" s="214">
        <f t="shared" si="10"/>
        <v>-2800</v>
      </c>
      <c r="U51" s="214">
        <f t="shared" si="10"/>
        <v>-12200</v>
      </c>
      <c r="V51" s="214">
        <f t="shared" si="10"/>
        <v>-23600</v>
      </c>
      <c r="W51" s="214">
        <f t="shared" si="10"/>
        <v>-16800</v>
      </c>
      <c r="X51" s="214">
        <f t="shared" si="10"/>
        <v>2900</v>
      </c>
      <c r="Y51" s="214">
        <f t="shared" si="10"/>
        <v>1900</v>
      </c>
      <c r="Z51" s="214">
        <f t="shared" si="10"/>
        <v>-2000</v>
      </c>
      <c r="AA51" s="214">
        <f t="shared" si="10"/>
        <v>-2800</v>
      </c>
      <c r="AB51" s="214">
        <f t="shared" si="10"/>
        <v>-10600</v>
      </c>
      <c r="AC51" s="214">
        <f t="shared" si="10"/>
        <v>-10400</v>
      </c>
    </row>
    <row r="52" spans="1:32" x14ac:dyDescent="0.2">
      <c r="A52" s="212" t="s">
        <v>72</v>
      </c>
      <c r="B52" s="215"/>
      <c r="C52" s="179">
        <f>IF((($B$50-C50)=0),IF((C41&lt;=0),"sofort","nie"),IF((C41/($B$50-C50)&lt;=0),IF((C41&lt;=0),"sofort","nie"),C41/($B$50-C50)))</f>
        <v>31.25</v>
      </c>
      <c r="D52" s="179">
        <f t="shared" ref="D52:AC52" si="11">IF((($B$50-D50)=0),IF((D41&lt;=0),"sofort","nie"),IF((D41/($B$50-D50)&lt;=0),IF((D41&lt;=0),"sofort","nie"),D41/($B$50-D50)))</f>
        <v>16.666666666666668</v>
      </c>
      <c r="E52" s="179" t="str">
        <f t="shared" si="11"/>
        <v>nie</v>
      </c>
      <c r="F52" s="179">
        <f t="shared" si="11"/>
        <v>45.833333333333336</v>
      </c>
      <c r="G52" s="179">
        <f t="shared" si="11"/>
        <v>93.548387096774192</v>
      </c>
      <c r="H52" s="179">
        <f t="shared" si="11"/>
        <v>10.465116279069768</v>
      </c>
      <c r="I52" s="179">
        <f t="shared" si="11"/>
        <v>10.465116279069768</v>
      </c>
      <c r="J52" s="179" t="str">
        <f t="shared" si="11"/>
        <v>sofort</v>
      </c>
      <c r="K52" s="179">
        <f t="shared" si="11"/>
        <v>30</v>
      </c>
      <c r="L52" s="179">
        <f t="shared" si="11"/>
        <v>34.545454545454547</v>
      </c>
      <c r="M52" s="179">
        <f t="shared" si="11"/>
        <v>31.25</v>
      </c>
      <c r="N52" s="179" t="str">
        <f t="shared" si="11"/>
        <v>sofort</v>
      </c>
      <c r="O52" s="179">
        <f t="shared" si="11"/>
        <v>6.756756756756757</v>
      </c>
      <c r="P52" s="179">
        <f t="shared" si="11"/>
        <v>6.0810810810810807</v>
      </c>
      <c r="Q52" s="179">
        <f t="shared" si="11"/>
        <v>10</v>
      </c>
      <c r="R52" s="179">
        <f t="shared" si="11"/>
        <v>4.6728971962616823</v>
      </c>
      <c r="S52" s="179">
        <f t="shared" si="11"/>
        <v>7.7519379844961236</v>
      </c>
      <c r="T52" s="179">
        <f t="shared" si="11"/>
        <v>27.777777777777779</v>
      </c>
      <c r="U52" s="179">
        <f t="shared" si="11"/>
        <v>70.833333333333329</v>
      </c>
      <c r="V52" s="179">
        <f t="shared" si="11"/>
        <v>357.14285714285717</v>
      </c>
      <c r="W52" s="179">
        <f t="shared" si="11"/>
        <v>64.21052631578948</v>
      </c>
      <c r="X52" s="179">
        <f t="shared" si="11"/>
        <v>16.847826086956523</v>
      </c>
      <c r="Y52" s="179">
        <f t="shared" si="11"/>
        <v>18.303571428571427</v>
      </c>
      <c r="Z52" s="179">
        <f t="shared" si="11"/>
        <v>22.061855670103093</v>
      </c>
      <c r="AA52" s="179">
        <f t="shared" si="11"/>
        <v>22.372881355932204</v>
      </c>
      <c r="AB52" s="179">
        <f t="shared" si="11"/>
        <v>28.907563025210084</v>
      </c>
      <c r="AC52" s="179">
        <f t="shared" si="11"/>
        <v>27.172413793103448</v>
      </c>
    </row>
    <row r="53" spans="1:32" x14ac:dyDescent="0.2">
      <c r="A53" s="212" t="s">
        <v>73</v>
      </c>
      <c r="B53" s="216">
        <f>ROUND((B42*$I$7+B43*$I$12)/1000,1)</f>
        <v>1.4</v>
      </c>
      <c r="C53" s="216">
        <f>ROUND((C42*$I$7+C43*$I$12)/1000,1)</f>
        <v>0.7</v>
      </c>
      <c r="D53" s="216">
        <f>ROUND((D42*$I$8+D43*$I$12)/1000,1)</f>
        <v>0.4</v>
      </c>
      <c r="E53" s="216">
        <f>ROUND((E42*$I$9+E43*$I$12)/1000,1)</f>
        <v>0.7</v>
      </c>
      <c r="F53" s="216">
        <f>ROUND((F42*$I$7+(F43-F46)*$I$12)/1000,1)</f>
        <v>0.4</v>
      </c>
      <c r="G53" s="216">
        <f>ROUND((G42*$I$7+(G43-G46)*$I$12)/1000,1)</f>
        <v>0.3</v>
      </c>
      <c r="H53" s="216">
        <f>ROUND((H42*$I$10+H43*$I$12)/1000,1)</f>
        <v>0.9</v>
      </c>
      <c r="I53" s="216">
        <f>ROUND((I42*$I$11+I43*$I$12)/1000,1)</f>
        <v>0.5</v>
      </c>
      <c r="J53" s="216">
        <f>ROUND((J42*$I$11+J43*$I$12)/1000,1)</f>
        <v>0.6</v>
      </c>
      <c r="K53" s="216">
        <f>ROUND((K42*$I$12+K43*$I$12)/1000,1)</f>
        <v>0.9</v>
      </c>
      <c r="L53" s="216">
        <f>ROUND((L42*$I$12+L43*$I$12)/1000,1)</f>
        <v>1</v>
      </c>
      <c r="M53" s="216">
        <f>ROUND((M42*$I$7+M43*$I$12)/1000,1)</f>
        <v>0.7</v>
      </c>
      <c r="N53" s="216">
        <f t="shared" ref="N53:S53" si="12">ROUND((N42*$I$7+(N43-N46)*$I$12)/1000,1)</f>
        <v>-0.5</v>
      </c>
      <c r="O53" s="216">
        <f t="shared" si="12"/>
        <v>-0.5</v>
      </c>
      <c r="P53" s="216">
        <f t="shared" si="12"/>
        <v>-1</v>
      </c>
      <c r="Q53" s="216">
        <f t="shared" si="12"/>
        <v>-1</v>
      </c>
      <c r="R53" s="216">
        <f t="shared" si="12"/>
        <v>-1.5</v>
      </c>
      <c r="S53" s="216">
        <f t="shared" si="12"/>
        <v>-1.5</v>
      </c>
      <c r="T53" s="216">
        <f>ROUND((T42*$I$8+T43*$I$12)/1000,1)</f>
        <v>0.3</v>
      </c>
      <c r="U53" s="216">
        <f>ROUND((U42*$I$7+(U43-U46)*$I$12)/1000,1)</f>
        <v>0.9</v>
      </c>
      <c r="V53" s="216">
        <f>ROUND((V42*$I$9+(V43-V46)*$I$12)/1000,1)</f>
        <v>0.8</v>
      </c>
      <c r="W53" s="216">
        <f t="shared" ref="W53:AC53" si="13">ROUND((W42*$I$12+(W43-W46)*$I$12)/1000,1)</f>
        <v>0.8</v>
      </c>
      <c r="X53" s="216">
        <f t="shared" si="13"/>
        <v>-1.3</v>
      </c>
      <c r="Y53" s="216">
        <f t="shared" si="13"/>
        <v>-1.3</v>
      </c>
      <c r="Z53" s="216">
        <f t="shared" si="13"/>
        <v>-1.4</v>
      </c>
      <c r="AA53" s="216">
        <f t="shared" si="13"/>
        <v>-1.4</v>
      </c>
      <c r="AB53" s="216">
        <f t="shared" si="13"/>
        <v>-1.9</v>
      </c>
      <c r="AC53" s="216">
        <f t="shared" si="13"/>
        <v>-1.9</v>
      </c>
    </row>
    <row r="54" spans="1:32" x14ac:dyDescent="0.2">
      <c r="A54" s="212" t="s">
        <v>3</v>
      </c>
      <c r="B54" s="141">
        <f>IF(($B$14-B44)/$B$14&lt;0,0,($B$14-B44)/$B$14)</f>
        <v>0.44673913043478258</v>
      </c>
      <c r="C54" s="141">
        <f t="shared" ref="C54:AC54" si="14">IF(($B$14-C44)/$B$14&lt;0,0,($B$14-C44)/$B$14)</f>
        <v>0.76847826086956517</v>
      </c>
      <c r="D54" s="141">
        <f t="shared" si="14"/>
        <v>0</v>
      </c>
      <c r="E54" s="141">
        <f t="shared" si="14"/>
        <v>0</v>
      </c>
      <c r="F54" s="141">
        <f t="shared" si="14"/>
        <v>0.52608695652173909</v>
      </c>
      <c r="G54" s="141">
        <f t="shared" si="14"/>
        <v>0.48369565217391303</v>
      </c>
      <c r="H54" s="141">
        <f t="shared" si="14"/>
        <v>0.59891304347826091</v>
      </c>
      <c r="I54" s="141">
        <f t="shared" si="14"/>
        <v>0.59891304347826091</v>
      </c>
      <c r="J54" s="141">
        <f t="shared" si="14"/>
        <v>0.21956521739130436</v>
      </c>
      <c r="K54" s="141">
        <f t="shared" si="14"/>
        <v>0.82499999999999996</v>
      </c>
      <c r="L54" s="141">
        <f t="shared" si="14"/>
        <v>0.81304347826086953</v>
      </c>
      <c r="M54" s="141">
        <f t="shared" si="14"/>
        <v>0.76847826086956517</v>
      </c>
      <c r="N54" s="141">
        <f t="shared" si="14"/>
        <v>0.83260869565217388</v>
      </c>
      <c r="O54" s="141">
        <f t="shared" si="14"/>
        <v>0.83260869565217388</v>
      </c>
      <c r="P54" s="141">
        <f t="shared" si="14"/>
        <v>0.80760869565217386</v>
      </c>
      <c r="Q54" s="141">
        <f t="shared" si="14"/>
        <v>0.80760869565217386</v>
      </c>
      <c r="R54" s="141">
        <f t="shared" si="14"/>
        <v>0.89673913043478259</v>
      </c>
      <c r="S54" s="141">
        <f t="shared" si="14"/>
        <v>0.89673913043478259</v>
      </c>
      <c r="T54" s="141">
        <f t="shared" si="14"/>
        <v>0.47717391304347828</v>
      </c>
      <c r="U54" s="141">
        <f t="shared" si="14"/>
        <v>0.78913043478260869</v>
      </c>
      <c r="V54" s="141">
        <f t="shared" si="14"/>
        <v>0.78369565217391302</v>
      </c>
      <c r="W54" s="141">
        <f t="shared" si="14"/>
        <v>0.85434782608695647</v>
      </c>
      <c r="X54" s="141">
        <f t="shared" si="14"/>
        <v>0.87282608695652175</v>
      </c>
      <c r="Y54" s="141">
        <f t="shared" si="14"/>
        <v>0.87282608695652175</v>
      </c>
      <c r="Z54" s="141">
        <f t="shared" si="14"/>
        <v>0.88695652173913042</v>
      </c>
      <c r="AA54" s="141">
        <f t="shared" si="14"/>
        <v>0.88695652173913042</v>
      </c>
      <c r="AB54" s="141">
        <f t="shared" si="14"/>
        <v>0.93369565217391304</v>
      </c>
      <c r="AC54" s="141">
        <f t="shared" si="14"/>
        <v>0.93369565217391304</v>
      </c>
    </row>
    <row r="55" spans="1:32" x14ac:dyDescent="0.2">
      <c r="A55" s="212" t="s">
        <v>6</v>
      </c>
      <c r="B55" s="141">
        <f>B47/$B$15</f>
        <v>0</v>
      </c>
      <c r="C55" s="141">
        <f>C47/$B$15</f>
        <v>0</v>
      </c>
      <c r="D55" s="141">
        <f>D47/$B$15</f>
        <v>0</v>
      </c>
      <c r="E55" s="141">
        <f>E47/$B$15</f>
        <v>0</v>
      </c>
      <c r="F55" s="141">
        <f>F47/$B$15</f>
        <v>0.19500000000000001</v>
      </c>
      <c r="G55" s="141">
        <f t="shared" ref="G55:AC55" si="15">G47/$B$15</f>
        <v>0.1825</v>
      </c>
      <c r="H55" s="141">
        <f t="shared" si="15"/>
        <v>0</v>
      </c>
      <c r="I55" s="141">
        <f t="shared" si="15"/>
        <v>0</v>
      </c>
      <c r="J55" s="141">
        <f t="shared" si="15"/>
        <v>0</v>
      </c>
      <c r="K55" s="141">
        <f t="shared" si="15"/>
        <v>0</v>
      </c>
      <c r="L55" s="141">
        <f t="shared" si="15"/>
        <v>0</v>
      </c>
      <c r="M55" s="141">
        <f t="shared" si="15"/>
        <v>0</v>
      </c>
      <c r="N55" s="141">
        <f t="shared" si="15"/>
        <v>0.1875</v>
      </c>
      <c r="O55" s="141">
        <f t="shared" si="15"/>
        <v>0.375</v>
      </c>
      <c r="P55" s="141">
        <f t="shared" si="15"/>
        <v>0.27</v>
      </c>
      <c r="Q55" s="141">
        <f t="shared" si="15"/>
        <v>0.54</v>
      </c>
      <c r="R55" s="141">
        <f t="shared" si="15"/>
        <v>0.27250000000000002</v>
      </c>
      <c r="S55" s="141">
        <f t="shared" si="15"/>
        <v>0.54500000000000004</v>
      </c>
      <c r="T55" s="141">
        <f t="shared" si="15"/>
        <v>0</v>
      </c>
      <c r="U55" s="141">
        <f t="shared" si="15"/>
        <v>0</v>
      </c>
      <c r="V55" s="141">
        <f t="shared" si="15"/>
        <v>0</v>
      </c>
      <c r="W55" s="141">
        <f t="shared" si="15"/>
        <v>0</v>
      </c>
      <c r="X55" s="141">
        <f t="shared" si="15"/>
        <v>0.26500000000000001</v>
      </c>
      <c r="Y55" s="141">
        <f t="shared" si="15"/>
        <v>0.53</v>
      </c>
      <c r="Z55" s="141">
        <f t="shared" si="15"/>
        <v>0.26750000000000002</v>
      </c>
      <c r="AA55" s="141">
        <f t="shared" si="15"/>
        <v>0.53500000000000003</v>
      </c>
      <c r="AB55" s="141">
        <f t="shared" si="15"/>
        <v>0.30499999999999999</v>
      </c>
      <c r="AC55" s="141">
        <f t="shared" si="15"/>
        <v>0.61</v>
      </c>
    </row>
    <row r="56" spans="1:32" x14ac:dyDescent="0.2">
      <c r="A56" s="212" t="s">
        <v>34</v>
      </c>
      <c r="B56" s="217" t="s">
        <v>35</v>
      </c>
      <c r="C56" s="217" t="s">
        <v>142</v>
      </c>
      <c r="D56" s="217" t="s">
        <v>53</v>
      </c>
      <c r="E56" s="218" t="s">
        <v>53</v>
      </c>
      <c r="F56" s="218" t="s">
        <v>35</v>
      </c>
      <c r="G56" s="217" t="s">
        <v>35</v>
      </c>
      <c r="H56" s="217" t="s">
        <v>35</v>
      </c>
      <c r="I56" s="217" t="s">
        <v>35</v>
      </c>
      <c r="J56" s="217" t="s">
        <v>33</v>
      </c>
      <c r="K56" s="217" t="s">
        <v>36</v>
      </c>
      <c r="L56" s="217" t="s">
        <v>36</v>
      </c>
      <c r="M56" s="217" t="s">
        <v>36</v>
      </c>
      <c r="N56" s="217" t="s">
        <v>36</v>
      </c>
      <c r="O56" s="217" t="s">
        <v>36</v>
      </c>
      <c r="P56" s="217" t="s">
        <v>36</v>
      </c>
      <c r="Q56" s="217" t="s">
        <v>36</v>
      </c>
      <c r="R56" s="217" t="s">
        <v>36</v>
      </c>
      <c r="S56" s="217" t="s">
        <v>36</v>
      </c>
      <c r="T56" s="217" t="s">
        <v>35</v>
      </c>
      <c r="U56" s="217" t="s">
        <v>143</v>
      </c>
      <c r="V56" s="217" t="s">
        <v>142</v>
      </c>
      <c r="W56" s="217" t="s">
        <v>36</v>
      </c>
      <c r="X56" s="217" t="s">
        <v>36</v>
      </c>
      <c r="Y56" s="217" t="s">
        <v>36</v>
      </c>
      <c r="Z56" s="217" t="s">
        <v>36</v>
      </c>
      <c r="AA56" s="217" t="s">
        <v>36</v>
      </c>
      <c r="AB56" s="217" t="s">
        <v>36</v>
      </c>
      <c r="AC56" s="217" t="s">
        <v>36</v>
      </c>
    </row>
    <row r="57" spans="1:32" x14ac:dyDescent="0.2">
      <c r="D57" s="6"/>
      <c r="E57" s="6"/>
      <c r="I57" s="3"/>
    </row>
    <row r="58" spans="1:32" x14ac:dyDescent="0.2">
      <c r="B58" s="167"/>
      <c r="C58" s="158" t="s">
        <v>122</v>
      </c>
      <c r="D58" s="159"/>
      <c r="E58" s="159"/>
      <c r="F58" s="168"/>
      <c r="G58" s="169" t="s">
        <v>123</v>
      </c>
      <c r="H58" s="159"/>
      <c r="I58" s="160"/>
    </row>
    <row r="59" spans="1:32" x14ac:dyDescent="0.2">
      <c r="B59" s="221"/>
      <c r="C59" s="72" t="s">
        <v>117</v>
      </c>
      <c r="F59" s="109"/>
      <c r="G59" t="s">
        <v>114</v>
      </c>
      <c r="I59" s="162"/>
    </row>
    <row r="60" spans="1:32" x14ac:dyDescent="0.2">
      <c r="B60" s="170"/>
      <c r="C60" s="72" t="s">
        <v>118</v>
      </c>
      <c r="F60" s="110"/>
      <c r="G60" t="s">
        <v>115</v>
      </c>
      <c r="I60" s="162"/>
    </row>
    <row r="61" spans="1:32" x14ac:dyDescent="0.2">
      <c r="B61" s="171"/>
      <c r="C61" s="165" t="s">
        <v>116</v>
      </c>
      <c r="D61" s="165"/>
      <c r="E61" s="165"/>
      <c r="F61" s="165"/>
      <c r="G61" s="165"/>
      <c r="H61" s="165"/>
      <c r="I61" s="166"/>
    </row>
    <row r="63" spans="1:32" x14ac:dyDescent="0.2">
      <c r="B63" s="211"/>
      <c r="C63" s="158" t="s">
        <v>129</v>
      </c>
      <c r="D63" s="159"/>
      <c r="E63" s="159"/>
      <c r="F63" s="160"/>
      <c r="H63" s="123" t="s">
        <v>127</v>
      </c>
      <c r="I63" s="223"/>
      <c r="J63" s="223"/>
      <c r="K63" s="223"/>
      <c r="L63" s="223"/>
      <c r="M63" s="223"/>
      <c r="N63" s="224"/>
    </row>
    <row r="64" spans="1:32" x14ac:dyDescent="0.2">
      <c r="B64" s="161" t="s">
        <v>120</v>
      </c>
      <c r="C64" s="72" t="s">
        <v>125</v>
      </c>
      <c r="F64" s="162"/>
      <c r="H64" s="230" t="s">
        <v>137</v>
      </c>
      <c r="I64" s="113"/>
      <c r="J64" s="113"/>
      <c r="K64" s="113"/>
      <c r="L64" s="113"/>
      <c r="M64" s="113"/>
      <c r="N64" s="225"/>
    </row>
    <row r="65" spans="2:14" x14ac:dyDescent="0.2">
      <c r="B65" s="163" t="s">
        <v>121</v>
      </c>
      <c r="C65" s="164" t="s">
        <v>126</v>
      </c>
      <c r="D65" s="165"/>
      <c r="E65" s="165"/>
      <c r="F65" s="166"/>
      <c r="H65" s="229" t="s">
        <v>136</v>
      </c>
      <c r="I65" s="227"/>
      <c r="J65" s="227"/>
      <c r="K65" s="227"/>
      <c r="L65" s="227"/>
      <c r="M65" s="227"/>
      <c r="N65" s="228"/>
    </row>
  </sheetData>
  <sheetProtection algorithmName="SHA-512" hashValue="Cfs6Yk1z1ErJ2ZDb3D5pwFSvfuYtiIoVUlLooIl+UQ/EprhjMG77wWrwsF1VfbrZEoCZtDR/wQ4fXx16OKOxpw==" saltValue="f611c/FP7NUtvqoPzgskCQ==" spinCount="100000" sheet="1" objects="1" scenarios="1" selectLockedCells="1" selectUnlockedCells="1"/>
  <phoneticPr fontId="0" type="noConversion"/>
  <conditionalFormatting sqref="B5">
    <cfRule type="cellIs" dxfId="47" priority="36" stopIfTrue="1" operator="notBetween">
      <formula>60</formula>
      <formula>140</formula>
    </cfRule>
  </conditionalFormatting>
  <conditionalFormatting sqref="B6">
    <cfRule type="cellIs" dxfId="46" priority="35" stopIfTrue="1" operator="notBetween">
      <formula>600</formula>
      <formula>1200</formula>
    </cfRule>
  </conditionalFormatting>
  <conditionalFormatting sqref="B52">
    <cfRule type="expression" dxfId="45" priority="25">
      <formula>OR(IF(B$41&gt;0,B$52&lt;=10,B$52&gt;30),B$52&lt;0)</formula>
    </cfRule>
    <cfRule type="expression" dxfId="44" priority="28" stopIfTrue="1">
      <formula>B$41&lt;0</formula>
    </cfRule>
  </conditionalFormatting>
  <conditionalFormatting sqref="B41:AC41">
    <cfRule type="cellIs" dxfId="43" priority="15" operator="lessThan">
      <formula>0</formula>
    </cfRule>
    <cfRule type="cellIs" dxfId="42" priority="27" stopIfTrue="1" operator="lessThanOrEqual">
      <formula>1000</formula>
    </cfRule>
  </conditionalFormatting>
  <conditionalFormatting sqref="B51:AC51">
    <cfRule type="cellIs" dxfId="41" priority="24" stopIfTrue="1" operator="greaterThanOrEqual">
      <formula>10000</formula>
    </cfRule>
  </conditionalFormatting>
  <conditionalFormatting sqref="B54:AC54">
    <cfRule type="cellIs" dxfId="40" priority="19" stopIfTrue="1" operator="greaterThanOrEqual">
      <formula>0.5</formula>
    </cfRule>
  </conditionalFormatting>
  <conditionalFormatting sqref="B55:AC55">
    <cfRule type="cellIs" dxfId="39" priority="18" stopIfTrue="1" operator="greaterThanOrEqual">
      <formula>0.5</formula>
    </cfRule>
  </conditionalFormatting>
  <conditionalFormatting sqref="B11:B12">
    <cfRule type="cellIs" dxfId="38" priority="17" stopIfTrue="1" operator="notBetween">
      <formula>20</formula>
      <formula>40</formula>
    </cfRule>
  </conditionalFormatting>
  <conditionalFormatting sqref="B10">
    <cfRule type="cellIs" dxfId="37" priority="16" stopIfTrue="1" operator="notBetween">
      <formula>5</formula>
      <formula>15</formula>
    </cfRule>
  </conditionalFormatting>
  <conditionalFormatting sqref="B53:AC53">
    <cfRule type="cellIs" dxfId="36" priority="109" stopIfTrue="1" operator="greaterThan">
      <formula>$B$53</formula>
    </cfRule>
    <cfRule type="cellIs" dxfId="35" priority="110" stopIfTrue="1" operator="lessThanOrEqual">
      <formula>0.5</formula>
    </cfRule>
  </conditionalFormatting>
  <conditionalFormatting sqref="C52:AC52">
    <cfRule type="expression" dxfId="34" priority="13">
      <formula>OR(IF(C$41&gt;0,C$52&lt;=10,C$52&gt;30),C$52="sofort")</formula>
    </cfRule>
    <cfRule type="expression" dxfId="33" priority="14" stopIfTrue="1">
      <formula>C$41&lt;0</formula>
    </cfRule>
  </conditionalFormatting>
  <conditionalFormatting sqref="C50:AC50">
    <cfRule type="cellIs" dxfId="32" priority="3" operator="greaterThan">
      <formula>$AF$50</formula>
    </cfRule>
    <cfRule type="cellIs" dxfId="31" priority="4" operator="lessThanOrEqual">
      <formula>200</formula>
    </cfRule>
  </conditionalFormatting>
  <conditionalFormatting sqref="B50">
    <cfRule type="cellIs" dxfId="30" priority="1" operator="greaterThan">
      <formula>"B50"</formula>
    </cfRule>
    <cfRule type="cellIs" dxfId="29" priority="2" operator="lessThanOrEqual">
      <formula>200</formula>
    </cfRule>
  </conditionalFormatting>
  <pageMargins left="0.39370078740157483" right="0.39370078740157483" top="0.59055118110236227" bottom="0.59055118110236227" header="0.51181102362204722" footer="0.51181102362204722"/>
  <pageSetup paperSize="9" scale="51" fitToWidth="2" orientation="landscape" horizontalDpi="0" verticalDpi="0" r:id="rId1"/>
  <headerFooter alignWithMargins="0"/>
  <ignoredErrors>
    <ignoredError sqref="C36:E36 H36:J36 AB36 Z36 W36:X36 T36 R36 P36 L36 N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BP83"/>
  <sheetViews>
    <sheetView showGridLines="0" zoomScaleNormal="100" workbookViewId="0">
      <pane xSplit="1" topLeftCell="B1" activePane="topRight" state="frozenSplit"/>
      <selection pane="topRight" activeCell="B6" sqref="B6"/>
    </sheetView>
  </sheetViews>
  <sheetFormatPr baseColWidth="10" defaultRowHeight="12.75" x14ac:dyDescent="0.2"/>
  <cols>
    <col min="1" max="1" width="33.28515625" bestFit="1" customWidth="1"/>
    <col min="2" max="29" width="17.7109375" customWidth="1"/>
  </cols>
  <sheetData>
    <row r="1" spans="1:31" s="2" customFormat="1" ht="23.25" x14ac:dyDescent="0.35">
      <c r="A1" s="111" t="s">
        <v>119</v>
      </c>
      <c r="B1" s="112" t="s">
        <v>147</v>
      </c>
      <c r="C1" s="113"/>
      <c r="D1" s="113"/>
      <c r="E1" s="113"/>
      <c r="F1" s="113"/>
      <c r="G1" s="113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3"/>
    </row>
    <row r="2" spans="1:31" s="2" customFormat="1" ht="23.25" x14ac:dyDescent="0.35">
      <c r="A2" s="112"/>
      <c r="B2" s="114" t="s">
        <v>152</v>
      </c>
      <c r="C2" s="113"/>
      <c r="D2" s="113"/>
      <c r="E2" s="113"/>
      <c r="F2" s="113"/>
      <c r="G2" s="11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3"/>
    </row>
    <row r="3" spans="1:31" s="2" customFormat="1" ht="24.95" customHeight="1" x14ac:dyDescent="0.35">
      <c r="A3" s="112"/>
      <c r="B3" s="113" t="s">
        <v>151</v>
      </c>
      <c r="C3" s="113"/>
      <c r="D3" s="113"/>
      <c r="E3" s="113"/>
      <c r="F3" s="113"/>
      <c r="G3" s="113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3"/>
    </row>
    <row r="4" spans="1:31" s="2" customFormat="1" ht="24.95" customHeight="1" x14ac:dyDescent="0.35">
      <c r="A4" s="112"/>
      <c r="B4" s="242" t="s">
        <v>148</v>
      </c>
      <c r="C4" s="243"/>
      <c r="D4" s="243"/>
      <c r="E4" s="243"/>
      <c r="F4" s="243"/>
      <c r="G4" s="113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3"/>
    </row>
    <row r="5" spans="1:31" ht="12.75" customHeight="1" x14ac:dyDescent="0.35">
      <c r="A5" s="88"/>
      <c r="B5" s="89"/>
      <c r="C5" s="89"/>
      <c r="D5" s="89"/>
      <c r="E5" s="89"/>
      <c r="F5" s="180" t="s">
        <v>100</v>
      </c>
      <c r="G5" s="181"/>
      <c r="H5" s="89"/>
      <c r="I5" s="89"/>
      <c r="J5" s="89"/>
      <c r="K5" s="89"/>
      <c r="L5" s="90"/>
      <c r="M5" s="112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96" t="s">
        <v>83</v>
      </c>
      <c r="AE5" s="195"/>
    </row>
    <row r="6" spans="1:31" x14ac:dyDescent="0.2">
      <c r="A6" s="29" t="s">
        <v>75</v>
      </c>
      <c r="B6" s="151">
        <v>100</v>
      </c>
      <c r="C6" s="152" t="s">
        <v>76</v>
      </c>
      <c r="D6" s="222" t="str">
        <f>IF(OR((B6&lt;60),(B6&gt;140)),"Wert außerhalb","gültiger Wert")</f>
        <v>gültiger Wert</v>
      </c>
      <c r="E6" s="8"/>
      <c r="F6" s="182">
        <v>100</v>
      </c>
      <c r="G6" s="183" t="s">
        <v>76</v>
      </c>
      <c r="H6" s="8"/>
      <c r="I6" s="82"/>
      <c r="J6" s="83"/>
      <c r="K6" s="83"/>
      <c r="L6" s="84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96">
        <f>B6/'Haustechnikvarianten gesamt'!B5</f>
        <v>1</v>
      </c>
      <c r="AE6" s="195"/>
    </row>
    <row r="7" spans="1:31" x14ac:dyDescent="0.2">
      <c r="A7" s="29" t="s">
        <v>77</v>
      </c>
      <c r="B7" s="151">
        <v>1000</v>
      </c>
      <c r="C7" s="57" t="s">
        <v>78</v>
      </c>
      <c r="D7" s="222" t="str">
        <f>IF(OR((B7&lt;600),(B7&gt;1200)),"Wert außerhalb","gültiger Wert")</f>
        <v>gültiger Wert</v>
      </c>
      <c r="E7" s="10"/>
      <c r="F7" s="184">
        <v>1000</v>
      </c>
      <c r="G7" s="185" t="s">
        <v>78</v>
      </c>
      <c r="H7" s="29" t="s">
        <v>93</v>
      </c>
      <c r="I7" s="85"/>
      <c r="J7" s="85"/>
      <c r="K7" s="194" t="s">
        <v>100</v>
      </c>
      <c r="L7" s="86"/>
      <c r="M7" s="150"/>
      <c r="N7" s="118"/>
      <c r="O7" s="119"/>
      <c r="P7" s="118"/>
      <c r="Q7" s="119"/>
      <c r="R7" s="119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96">
        <f>B7/'Haustechnikvarianten gesamt'!B6</f>
        <v>1</v>
      </c>
      <c r="AE7" s="195"/>
    </row>
    <row r="8" spans="1:31" x14ac:dyDescent="0.2">
      <c r="A8" s="29" t="s">
        <v>79</v>
      </c>
      <c r="B8" s="153">
        <v>12</v>
      </c>
      <c r="C8" s="57" t="s">
        <v>81</v>
      </c>
      <c r="D8" s="222" t="str">
        <f>IF(OR((B8&lt;3),(B8&gt;100)),"Wert prüfen","gültiger Wert")</f>
        <v>gültiger Wert</v>
      </c>
      <c r="E8" s="10"/>
      <c r="F8" s="186">
        <v>12</v>
      </c>
      <c r="G8" s="185" t="s">
        <v>81</v>
      </c>
      <c r="H8" s="40" t="s">
        <v>94</v>
      </c>
      <c r="I8" s="75">
        <v>0.24</v>
      </c>
      <c r="J8" s="87" t="s">
        <v>98</v>
      </c>
      <c r="K8" s="192">
        <v>0.24</v>
      </c>
      <c r="L8" s="193" t="s">
        <v>98</v>
      </c>
      <c r="M8" s="150"/>
      <c r="N8" s="118"/>
      <c r="O8" s="119"/>
      <c r="P8" s="118"/>
      <c r="Q8" s="119"/>
      <c r="R8" s="119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96"/>
      <c r="AE8" s="195"/>
    </row>
    <row r="9" spans="1:31" x14ac:dyDescent="0.2">
      <c r="A9" s="29" t="s">
        <v>85</v>
      </c>
      <c r="B9" s="151">
        <v>100</v>
      </c>
      <c r="C9" s="154" t="s">
        <v>87</v>
      </c>
      <c r="D9" s="231" t="str">
        <f>IF(OR((B9&lt;10),(B9&gt;1000)),"Wert prüfen","gültiger Wert")</f>
        <v>gültiger Wert</v>
      </c>
      <c r="E9" s="232">
        <f>B9/'Haustechnikvarianten gesamt'!D8*100</f>
        <v>5.2631578947368416</v>
      </c>
      <c r="F9" s="184">
        <v>100</v>
      </c>
      <c r="G9" s="187" t="s">
        <v>87</v>
      </c>
      <c r="H9" s="40" t="s">
        <v>95</v>
      </c>
      <c r="I9" s="75">
        <v>0.02</v>
      </c>
      <c r="J9" s="87" t="s">
        <v>98</v>
      </c>
      <c r="K9" s="192">
        <v>0.02</v>
      </c>
      <c r="L9" s="193" t="s">
        <v>98</v>
      </c>
      <c r="M9" s="150"/>
      <c r="N9" s="119"/>
      <c r="O9" s="118"/>
      <c r="P9" s="119"/>
      <c r="Q9" s="118"/>
      <c r="R9" s="119"/>
      <c r="S9" s="119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96"/>
      <c r="AE9" s="195"/>
    </row>
    <row r="10" spans="1:31" x14ac:dyDescent="0.2">
      <c r="A10" s="29" t="s">
        <v>86</v>
      </c>
      <c r="B10" s="151">
        <v>300</v>
      </c>
      <c r="C10" s="154" t="s">
        <v>88</v>
      </c>
      <c r="D10" s="231" t="str">
        <f>IF(OR((B10&lt;150),(B10&gt;1000)),"Wert prüfen","gültiger Wert")</f>
        <v>gültiger Wert</v>
      </c>
      <c r="E10" s="232">
        <f>B10/'Haustechnikvarianten gesamt'!D9*100</f>
        <v>6.1224489795918364</v>
      </c>
      <c r="F10" s="184">
        <v>300</v>
      </c>
      <c r="G10" s="187" t="s">
        <v>88</v>
      </c>
      <c r="H10" s="40" t="s">
        <v>96</v>
      </c>
      <c r="I10" s="75">
        <v>4.1000000000000002E-2</v>
      </c>
      <c r="J10" s="87" t="s">
        <v>98</v>
      </c>
      <c r="K10" s="192">
        <v>4.1000000000000002E-2</v>
      </c>
      <c r="L10" s="193" t="s">
        <v>98</v>
      </c>
      <c r="M10" s="150"/>
      <c r="N10" s="119"/>
      <c r="O10" s="118"/>
      <c r="P10" s="119"/>
      <c r="Q10" s="118"/>
      <c r="R10" s="119"/>
      <c r="S10" s="119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96"/>
      <c r="AE10" s="195"/>
    </row>
    <row r="11" spans="1:31" x14ac:dyDescent="0.2">
      <c r="A11" s="29" t="s">
        <v>92</v>
      </c>
      <c r="B11" s="155">
        <v>9.5</v>
      </c>
      <c r="C11" s="154" t="s">
        <v>81</v>
      </c>
      <c r="D11" s="222" t="str">
        <f>IF(OR((B11&lt;5),(B11&gt;100)),"Wert prüfen","gültiger Wert")</f>
        <v>gültiger Wert</v>
      </c>
      <c r="E11" s="12"/>
      <c r="F11" s="188">
        <v>12</v>
      </c>
      <c r="G11" s="189" t="s">
        <v>81</v>
      </c>
      <c r="H11" s="40" t="s">
        <v>97</v>
      </c>
      <c r="I11" s="75">
        <v>0.18</v>
      </c>
      <c r="J11" s="87" t="s">
        <v>98</v>
      </c>
      <c r="K11" s="192">
        <v>0.18</v>
      </c>
      <c r="L11" s="193" t="s">
        <v>98</v>
      </c>
      <c r="M11" s="150"/>
      <c r="N11" s="119"/>
      <c r="O11" s="118"/>
      <c r="P11" s="119"/>
      <c r="Q11" s="118"/>
      <c r="R11" s="119"/>
      <c r="S11" s="119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96"/>
      <c r="AE11" s="195"/>
    </row>
    <row r="12" spans="1:31" x14ac:dyDescent="0.2">
      <c r="A12" s="29" t="s">
        <v>80</v>
      </c>
      <c r="B12" s="153">
        <v>40</v>
      </c>
      <c r="C12" s="57" t="s">
        <v>81</v>
      </c>
      <c r="D12" s="222" t="str">
        <f>IF(OR((B12&lt;20),(B12&gt;200)),"Wert prüfen","gültiger Wert")</f>
        <v>gültiger Wert</v>
      </c>
      <c r="E12" s="10"/>
      <c r="F12" s="190">
        <v>32</v>
      </c>
      <c r="G12" s="185" t="s">
        <v>81</v>
      </c>
      <c r="H12" s="40" t="s">
        <v>99</v>
      </c>
      <c r="I12" s="75">
        <v>0.06</v>
      </c>
      <c r="J12" s="87" t="s">
        <v>98</v>
      </c>
      <c r="K12" s="192">
        <v>0.06</v>
      </c>
      <c r="L12" s="193" t="s">
        <v>98</v>
      </c>
      <c r="M12" s="150"/>
      <c r="N12" s="118"/>
      <c r="O12" s="119"/>
      <c r="P12" s="118"/>
      <c r="Q12" s="119"/>
      <c r="R12" s="119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96"/>
      <c r="AE12" s="195"/>
    </row>
    <row r="13" spans="1:31" x14ac:dyDescent="0.2">
      <c r="A13" s="29" t="s">
        <v>82</v>
      </c>
      <c r="B13" s="153">
        <v>30</v>
      </c>
      <c r="C13" s="57" t="s">
        <v>81</v>
      </c>
      <c r="D13" s="222" t="str">
        <f>IF(OR((B13&lt;5),(B13&gt;200)),"Wert prüfen","gültiger Wert")</f>
        <v>gültiger Wert</v>
      </c>
      <c r="E13" s="10"/>
      <c r="F13" s="190">
        <v>30</v>
      </c>
      <c r="G13" s="185" t="s">
        <v>81</v>
      </c>
      <c r="H13" s="40" t="s">
        <v>84</v>
      </c>
      <c r="I13" s="75">
        <v>0.56000000000000005</v>
      </c>
      <c r="J13" s="87" t="s">
        <v>98</v>
      </c>
      <c r="K13" s="192">
        <v>0.56000000000000005</v>
      </c>
      <c r="L13" s="193" t="s">
        <v>98</v>
      </c>
      <c r="M13" s="117"/>
      <c r="N13" s="118"/>
      <c r="O13" s="119"/>
      <c r="P13" s="118"/>
      <c r="Q13" s="119"/>
      <c r="R13" s="119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96"/>
      <c r="AE13" s="195"/>
    </row>
    <row r="14" spans="1:31" x14ac:dyDescent="0.2">
      <c r="A14" s="29" t="s">
        <v>138</v>
      </c>
      <c r="B14" s="153">
        <v>8.1999999999999993</v>
      </c>
      <c r="C14" s="57" t="s">
        <v>81</v>
      </c>
      <c r="D14" s="222" t="str">
        <f>IF(OR((B14&lt;4),(B14&gt;50)),"Wert prüfen","gültiger Wert")</f>
        <v>gültiger Wert</v>
      </c>
      <c r="E14" s="10"/>
      <c r="F14" s="190">
        <v>8.1999999999999993</v>
      </c>
      <c r="G14" s="185" t="s">
        <v>81</v>
      </c>
      <c r="H14" s="21"/>
      <c r="I14" s="10"/>
      <c r="J14" s="238"/>
      <c r="K14" s="239"/>
      <c r="L14" s="240"/>
      <c r="M14" s="117"/>
      <c r="N14" s="118"/>
      <c r="O14" s="119"/>
      <c r="P14" s="118"/>
      <c r="Q14" s="119"/>
      <c r="R14" s="119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96"/>
      <c r="AE14" s="195"/>
    </row>
    <row r="15" spans="1:31" x14ac:dyDescent="0.2">
      <c r="A15" s="29" t="s">
        <v>10</v>
      </c>
      <c r="B15" s="156">
        <f>'Haustechnikvarianten gesamt'!B14*'Haustechnikvarianten berechnen'!AD6</f>
        <v>9200</v>
      </c>
      <c r="C15" s="152" t="s">
        <v>32</v>
      </c>
      <c r="D15" s="222"/>
      <c r="E15" s="10"/>
      <c r="F15" s="184">
        <v>9200</v>
      </c>
      <c r="G15" s="191" t="s">
        <v>32</v>
      </c>
      <c r="H15" s="10"/>
      <c r="I15" s="76"/>
      <c r="J15" s="76"/>
      <c r="K15" s="77"/>
      <c r="L15" s="78"/>
      <c r="M15" s="118"/>
      <c r="N15" s="119"/>
      <c r="O15" s="118"/>
      <c r="P15" s="119"/>
      <c r="Q15" s="118"/>
      <c r="R15" s="119"/>
      <c r="S15" s="119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96">
        <f>AD6</f>
        <v>1</v>
      </c>
      <c r="AE15" s="195"/>
    </row>
    <row r="16" spans="1:31" x14ac:dyDescent="0.2">
      <c r="A16" s="29" t="s">
        <v>31</v>
      </c>
      <c r="B16" s="151">
        <v>4000</v>
      </c>
      <c r="C16" s="152" t="s">
        <v>32</v>
      </c>
      <c r="D16" s="222" t="str">
        <f>IF(OR((B16&lt;1000),(B16&gt;10000)),"Wert prüfen","gültiger Wert")</f>
        <v>gültiger Wert</v>
      </c>
      <c r="E16" s="26"/>
      <c r="F16" s="184">
        <v>4000</v>
      </c>
      <c r="G16" s="191" t="s">
        <v>32</v>
      </c>
      <c r="H16" s="26"/>
      <c r="I16" s="79"/>
      <c r="J16" s="79"/>
      <c r="K16" s="80"/>
      <c r="L16" s="81"/>
      <c r="M16" s="118"/>
      <c r="N16" s="119"/>
      <c r="O16" s="118"/>
      <c r="P16" s="119"/>
      <c r="Q16" s="118"/>
      <c r="R16" s="119"/>
      <c r="S16" s="119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96">
        <f>B16/'Haustechnikvarianten gesamt'!B15</f>
        <v>1</v>
      </c>
      <c r="AE16" s="195"/>
    </row>
    <row r="17" spans="1:68" x14ac:dyDescent="0.2">
      <c r="A17" s="113"/>
      <c r="B17" s="116"/>
      <c r="C17" s="116"/>
      <c r="D17" s="117"/>
      <c r="E17" s="117"/>
      <c r="F17" s="116"/>
      <c r="G17" s="116"/>
      <c r="H17" s="116"/>
      <c r="I17" s="116"/>
      <c r="J17" s="117"/>
      <c r="K17" s="117"/>
      <c r="L17" s="118"/>
      <c r="M17" s="119"/>
      <c r="N17" s="118"/>
      <c r="O17" s="119"/>
      <c r="P17" s="118"/>
      <c r="Q17" s="119"/>
      <c r="R17" s="119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</row>
    <row r="18" spans="1:68" x14ac:dyDescent="0.2">
      <c r="A18" s="113"/>
      <c r="B18" s="116"/>
      <c r="C18" s="116"/>
      <c r="D18" s="117"/>
      <c r="E18" s="117"/>
      <c r="F18" s="116"/>
      <c r="G18" s="116"/>
      <c r="H18" s="116"/>
      <c r="I18" s="116"/>
      <c r="J18" s="117"/>
      <c r="K18" s="117"/>
      <c r="L18" s="118"/>
      <c r="M18" s="119"/>
      <c r="N18" s="118"/>
      <c r="O18" s="119"/>
      <c r="P18" s="118"/>
      <c r="Q18" s="119"/>
      <c r="R18" s="119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</row>
    <row r="19" spans="1:68" s="1" customFormat="1" x14ac:dyDescent="0.2">
      <c r="A19" s="123"/>
      <c r="B19" s="124" t="s">
        <v>4</v>
      </c>
      <c r="C19" s="125" t="s">
        <v>37</v>
      </c>
      <c r="D19" s="125" t="s">
        <v>38</v>
      </c>
      <c r="E19" s="126" t="s">
        <v>102</v>
      </c>
      <c r="F19" s="127" t="s">
        <v>104</v>
      </c>
      <c r="G19" s="128" t="s">
        <v>65</v>
      </c>
      <c r="H19" s="125" t="s">
        <v>39</v>
      </c>
      <c r="I19" s="125" t="s">
        <v>40</v>
      </c>
      <c r="J19" s="125" t="s">
        <v>63</v>
      </c>
      <c r="K19" s="129" t="s">
        <v>41</v>
      </c>
      <c r="L19" s="125" t="s">
        <v>42</v>
      </c>
      <c r="M19" s="130" t="s">
        <v>68</v>
      </c>
      <c r="N19" s="125" t="s">
        <v>43</v>
      </c>
      <c r="O19" s="125" t="s">
        <v>44</v>
      </c>
      <c r="P19" s="125" t="s">
        <v>54</v>
      </c>
      <c r="Q19" s="125" t="s">
        <v>55</v>
      </c>
      <c r="R19" s="125" t="s">
        <v>56</v>
      </c>
      <c r="S19" s="125" t="s">
        <v>57</v>
      </c>
      <c r="T19" s="125" t="s">
        <v>45</v>
      </c>
      <c r="U19" s="131" t="s">
        <v>132</v>
      </c>
      <c r="V19" s="131" t="s">
        <v>134</v>
      </c>
      <c r="W19" s="125" t="s">
        <v>46</v>
      </c>
      <c r="X19" s="125" t="s">
        <v>47</v>
      </c>
      <c r="Y19" s="125" t="s">
        <v>48</v>
      </c>
      <c r="Z19" s="125" t="s">
        <v>49</v>
      </c>
      <c r="AA19" s="125" t="s">
        <v>50</v>
      </c>
      <c r="AB19" s="125" t="s">
        <v>51</v>
      </c>
      <c r="AC19" s="132" t="s">
        <v>52</v>
      </c>
      <c r="AD19" s="113"/>
    </row>
    <row r="20" spans="1:68" s="1" customFormat="1" x14ac:dyDescent="0.2">
      <c r="A20" s="133"/>
      <c r="B20" s="62"/>
      <c r="C20" s="120" t="s">
        <v>61</v>
      </c>
      <c r="D20" s="120" t="s">
        <v>5</v>
      </c>
      <c r="E20" s="121" t="s">
        <v>101</v>
      </c>
      <c r="F20" s="121" t="s">
        <v>103</v>
      </c>
      <c r="G20" s="120" t="s">
        <v>66</v>
      </c>
      <c r="H20" s="120" t="s">
        <v>62</v>
      </c>
      <c r="I20" s="120" t="s">
        <v>62</v>
      </c>
      <c r="J20" s="120" t="s">
        <v>11</v>
      </c>
      <c r="K20" s="120" t="s">
        <v>8</v>
      </c>
      <c r="L20" s="120" t="s">
        <v>9</v>
      </c>
      <c r="M20" s="120" t="s">
        <v>69</v>
      </c>
      <c r="N20" s="120" t="s">
        <v>14</v>
      </c>
      <c r="O20" s="120" t="s">
        <v>14</v>
      </c>
      <c r="P20" s="120" t="s">
        <v>14</v>
      </c>
      <c r="Q20" s="120" t="s">
        <v>14</v>
      </c>
      <c r="R20" s="120" t="s">
        <v>14</v>
      </c>
      <c r="S20" s="120" t="s">
        <v>14</v>
      </c>
      <c r="T20" s="120" t="s">
        <v>17</v>
      </c>
      <c r="U20" s="120" t="s">
        <v>133</v>
      </c>
      <c r="V20" s="120" t="s">
        <v>139</v>
      </c>
      <c r="W20" s="120" t="s">
        <v>9</v>
      </c>
      <c r="X20" s="120" t="s">
        <v>8</v>
      </c>
      <c r="Y20" s="120" t="s">
        <v>8</v>
      </c>
      <c r="Z20" s="120" t="s">
        <v>9</v>
      </c>
      <c r="AA20" s="120" t="s">
        <v>9</v>
      </c>
      <c r="AB20" s="120" t="s">
        <v>9</v>
      </c>
      <c r="AC20" s="134" t="s">
        <v>9</v>
      </c>
      <c r="AD20" s="113"/>
    </row>
    <row r="21" spans="1:68" s="1" customFormat="1" x14ac:dyDescent="0.2">
      <c r="A21" s="133"/>
      <c r="B21" s="122"/>
      <c r="C21" s="120" t="s">
        <v>20</v>
      </c>
      <c r="D21" s="120"/>
      <c r="E21" s="120"/>
      <c r="F21" s="120"/>
      <c r="G21" s="120" t="s">
        <v>67</v>
      </c>
      <c r="H21" s="120" t="s">
        <v>12</v>
      </c>
      <c r="I21" s="120" t="s">
        <v>13</v>
      </c>
      <c r="J21" s="120" t="s">
        <v>13</v>
      </c>
      <c r="K21" s="120"/>
      <c r="L21" s="120"/>
      <c r="M21" s="120" t="s">
        <v>70</v>
      </c>
      <c r="N21" s="120" t="s">
        <v>15</v>
      </c>
      <c r="O21" s="120" t="s">
        <v>15</v>
      </c>
      <c r="P21" s="120" t="s">
        <v>15</v>
      </c>
      <c r="Q21" s="120" t="s">
        <v>15</v>
      </c>
      <c r="R21" s="120" t="s">
        <v>58</v>
      </c>
      <c r="S21" s="120" t="s">
        <v>58</v>
      </c>
      <c r="T21" s="120" t="s">
        <v>18</v>
      </c>
      <c r="U21" s="120" t="s">
        <v>19</v>
      </c>
      <c r="V21" s="120" t="s">
        <v>19</v>
      </c>
      <c r="W21" s="120" t="s">
        <v>20</v>
      </c>
      <c r="X21" s="120" t="s">
        <v>21</v>
      </c>
      <c r="Y21" s="120" t="s">
        <v>21</v>
      </c>
      <c r="Z21" s="120" t="s">
        <v>21</v>
      </c>
      <c r="AA21" s="120" t="s">
        <v>21</v>
      </c>
      <c r="AB21" s="120" t="s">
        <v>20</v>
      </c>
      <c r="AC21" s="134" t="s">
        <v>20</v>
      </c>
      <c r="AD21" s="113"/>
    </row>
    <row r="22" spans="1:68" s="1" customFormat="1" x14ac:dyDescent="0.2">
      <c r="A22" s="133"/>
      <c r="B22" s="122"/>
      <c r="C22" s="120" t="s">
        <v>141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 t="s">
        <v>141</v>
      </c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34"/>
      <c r="AD22" s="113"/>
    </row>
    <row r="23" spans="1:68" s="1" customFormat="1" x14ac:dyDescent="0.2">
      <c r="A23" s="133"/>
      <c r="B23" s="62"/>
      <c r="C23" s="120" t="s">
        <v>68</v>
      </c>
      <c r="D23" s="120"/>
      <c r="E23" s="120"/>
      <c r="F23" s="44" t="s">
        <v>128</v>
      </c>
      <c r="G23" s="44"/>
      <c r="H23" s="120"/>
      <c r="I23" s="120"/>
      <c r="J23" s="120"/>
      <c r="K23" s="120"/>
      <c r="L23" s="120"/>
      <c r="M23" s="120" t="s">
        <v>37</v>
      </c>
      <c r="N23" s="120"/>
      <c r="O23" s="120" t="s">
        <v>16</v>
      </c>
      <c r="P23" s="120" t="s">
        <v>20</v>
      </c>
      <c r="Q23" s="120" t="s">
        <v>20</v>
      </c>
      <c r="R23" s="120" t="s">
        <v>20</v>
      </c>
      <c r="S23" s="120" t="s">
        <v>20</v>
      </c>
      <c r="T23" s="120"/>
      <c r="U23" s="120"/>
      <c r="V23" s="120"/>
      <c r="W23" s="120"/>
      <c r="X23" s="120"/>
      <c r="Y23" s="120" t="s">
        <v>16</v>
      </c>
      <c r="Z23" s="120"/>
      <c r="AA23" s="120" t="s">
        <v>16</v>
      </c>
      <c r="AB23" s="120" t="s">
        <v>21</v>
      </c>
      <c r="AC23" s="134" t="s">
        <v>21</v>
      </c>
      <c r="AD23" s="113"/>
    </row>
    <row r="24" spans="1:68" s="1" customFormat="1" x14ac:dyDescent="0.2">
      <c r="A24" s="135"/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 t="s">
        <v>16</v>
      </c>
      <c r="R24" s="137"/>
      <c r="S24" s="137" t="s">
        <v>16</v>
      </c>
      <c r="T24" s="137"/>
      <c r="U24" s="137"/>
      <c r="V24" s="137"/>
      <c r="W24" s="137"/>
      <c r="X24" s="137"/>
      <c r="Y24" s="137"/>
      <c r="Z24" s="137"/>
      <c r="AA24" s="137"/>
      <c r="AB24" s="137"/>
      <c r="AC24" s="138" t="s">
        <v>16</v>
      </c>
      <c r="AD24" s="113"/>
    </row>
    <row r="25" spans="1:68" s="1" customFormat="1" x14ac:dyDescent="0.2">
      <c r="A25" s="115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 t="s">
        <v>60</v>
      </c>
      <c r="S25" s="44" t="s">
        <v>60</v>
      </c>
      <c r="T25" s="44" t="s">
        <v>64</v>
      </c>
      <c r="U25" s="44"/>
      <c r="V25" s="44"/>
      <c r="W25" s="44"/>
      <c r="X25" s="44" t="s">
        <v>64</v>
      </c>
      <c r="Y25" s="44" t="s">
        <v>64</v>
      </c>
      <c r="Z25" s="44" t="s">
        <v>64</v>
      </c>
      <c r="AA25" s="44" t="s">
        <v>64</v>
      </c>
      <c r="AB25" s="44" t="s">
        <v>64</v>
      </c>
      <c r="AC25" s="44" t="s">
        <v>64</v>
      </c>
      <c r="AD25" s="113"/>
    </row>
    <row r="26" spans="1:68" s="1" customFormat="1" x14ac:dyDescent="0.2">
      <c r="A26" s="7" t="s">
        <v>59</v>
      </c>
      <c r="B26" s="91" t="s">
        <v>71</v>
      </c>
      <c r="C26" s="48">
        <v>40</v>
      </c>
      <c r="D26" s="48">
        <v>40</v>
      </c>
      <c r="E26" s="48">
        <v>40</v>
      </c>
      <c r="F26" s="48">
        <v>40</v>
      </c>
      <c r="G26" s="48">
        <v>40</v>
      </c>
      <c r="H26" s="48">
        <v>40</v>
      </c>
      <c r="I26" s="48">
        <v>40</v>
      </c>
      <c r="J26" s="48">
        <v>40</v>
      </c>
      <c r="K26" s="48">
        <v>40</v>
      </c>
      <c r="L26" s="48">
        <v>40</v>
      </c>
      <c r="M26" s="48">
        <v>40</v>
      </c>
      <c r="N26" s="48">
        <v>40</v>
      </c>
      <c r="O26" s="48">
        <v>40</v>
      </c>
      <c r="P26" s="48">
        <v>40</v>
      </c>
      <c r="Q26" s="48">
        <v>40</v>
      </c>
      <c r="R26" s="48">
        <v>40</v>
      </c>
      <c r="S26" s="48">
        <v>40</v>
      </c>
      <c r="T26" s="48">
        <v>40</v>
      </c>
      <c r="U26" s="48">
        <v>40</v>
      </c>
      <c r="V26" s="48">
        <v>40</v>
      </c>
      <c r="W26" s="48">
        <v>40</v>
      </c>
      <c r="X26" s="48">
        <v>40</v>
      </c>
      <c r="Y26" s="48">
        <v>40</v>
      </c>
      <c r="Z26" s="48">
        <v>40</v>
      </c>
      <c r="AA26" s="48">
        <v>40</v>
      </c>
      <c r="AB26" s="48">
        <v>40</v>
      </c>
      <c r="AC26" s="48">
        <v>40</v>
      </c>
      <c r="AD26" s="113"/>
    </row>
    <row r="27" spans="1:68" s="1" customFormat="1" x14ac:dyDescent="0.2">
      <c r="A27" s="97" t="s">
        <v>28</v>
      </c>
      <c r="B27" s="64"/>
      <c r="C27" s="98">
        <v>10000</v>
      </c>
      <c r="D27" s="98">
        <v>10000</v>
      </c>
      <c r="E27" s="98">
        <v>10000</v>
      </c>
      <c r="F27" s="98">
        <v>10000</v>
      </c>
      <c r="G27" s="98">
        <v>10000</v>
      </c>
      <c r="H27" s="98">
        <v>10000</v>
      </c>
      <c r="I27" s="98">
        <v>10000</v>
      </c>
      <c r="J27" s="98">
        <v>10000</v>
      </c>
      <c r="K27" s="98">
        <v>10000</v>
      </c>
      <c r="L27" s="98">
        <v>10000</v>
      </c>
      <c r="M27" s="98">
        <v>10000</v>
      </c>
      <c r="N27" s="98">
        <v>10000</v>
      </c>
      <c r="O27" s="98">
        <v>10000</v>
      </c>
      <c r="P27" s="98">
        <v>10000</v>
      </c>
      <c r="Q27" s="98">
        <v>10000</v>
      </c>
      <c r="R27" s="98">
        <v>10000</v>
      </c>
      <c r="S27" s="98">
        <v>10000</v>
      </c>
      <c r="T27" s="98">
        <v>10000</v>
      </c>
      <c r="U27" s="98">
        <v>10000</v>
      </c>
      <c r="V27" s="98">
        <v>10000</v>
      </c>
      <c r="W27" s="98">
        <v>10000</v>
      </c>
      <c r="X27" s="98">
        <v>10000</v>
      </c>
      <c r="Y27" s="98">
        <v>10000</v>
      </c>
      <c r="Z27" s="98">
        <v>10000</v>
      </c>
      <c r="AA27" s="98">
        <v>10000</v>
      </c>
      <c r="AB27" s="98">
        <v>10000</v>
      </c>
      <c r="AC27" s="98">
        <v>10000</v>
      </c>
      <c r="AD27" s="11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s="1" customFormat="1" x14ac:dyDescent="0.2">
      <c r="A28" s="74" t="s">
        <v>22</v>
      </c>
      <c r="B28" s="99">
        <v>10000</v>
      </c>
      <c r="C28" s="100">
        <v>10000</v>
      </c>
      <c r="D28" s="100">
        <v>17000</v>
      </c>
      <c r="E28" s="100">
        <v>30000</v>
      </c>
      <c r="F28" s="100">
        <v>35000</v>
      </c>
      <c r="G28" s="100">
        <v>42000</v>
      </c>
      <c r="H28" s="100">
        <v>12000</v>
      </c>
      <c r="I28" s="100">
        <v>12000</v>
      </c>
      <c r="J28" s="100">
        <v>12000</v>
      </c>
      <c r="K28" s="100">
        <v>25000</v>
      </c>
      <c r="L28" s="100">
        <v>30900</v>
      </c>
      <c r="M28" s="100">
        <v>10000</v>
      </c>
      <c r="N28" s="100">
        <v>3000</v>
      </c>
      <c r="O28" s="100">
        <v>3000</v>
      </c>
      <c r="P28" s="100">
        <v>2000</v>
      </c>
      <c r="Q28" s="100">
        <v>2000</v>
      </c>
      <c r="R28" s="100">
        <v>3000</v>
      </c>
      <c r="S28" s="100">
        <v>3000</v>
      </c>
      <c r="T28" s="100">
        <v>10000</v>
      </c>
      <c r="U28" s="100">
        <v>30000</v>
      </c>
      <c r="V28" s="100">
        <v>40000</v>
      </c>
      <c r="W28" s="100">
        <v>30900</v>
      </c>
      <c r="X28" s="100">
        <v>25000</v>
      </c>
      <c r="Y28" s="100">
        <v>25000</v>
      </c>
      <c r="Z28" s="100">
        <v>30900</v>
      </c>
      <c r="AA28" s="100">
        <v>30900</v>
      </c>
      <c r="AB28" s="100">
        <v>30900</v>
      </c>
      <c r="AC28" s="100">
        <v>30900</v>
      </c>
      <c r="AD28" s="113"/>
    </row>
    <row r="29" spans="1:68" s="1" customFormat="1" x14ac:dyDescent="0.2">
      <c r="A29" s="74" t="s">
        <v>18</v>
      </c>
      <c r="B29" s="99">
        <v>13000</v>
      </c>
      <c r="C29" s="100">
        <v>13000</v>
      </c>
      <c r="D29" s="68"/>
      <c r="E29" s="101"/>
      <c r="F29" s="101"/>
      <c r="G29" s="68"/>
      <c r="H29" s="100">
        <v>9000</v>
      </c>
      <c r="I29" s="100">
        <v>9000</v>
      </c>
      <c r="J29" s="68"/>
      <c r="K29" s="68"/>
      <c r="L29" s="68"/>
      <c r="M29" s="100">
        <v>13000</v>
      </c>
      <c r="N29" s="68"/>
      <c r="O29" s="68"/>
      <c r="P29" s="100">
        <v>9000</v>
      </c>
      <c r="Q29" s="100">
        <v>9000</v>
      </c>
      <c r="R29" s="100">
        <v>9000</v>
      </c>
      <c r="S29" s="100">
        <v>9000</v>
      </c>
      <c r="T29" s="100">
        <v>20000</v>
      </c>
      <c r="U29" s="68"/>
      <c r="V29" s="68"/>
      <c r="W29" s="100">
        <v>13000</v>
      </c>
      <c r="X29" s="68"/>
      <c r="Y29" s="68"/>
      <c r="Z29" s="68"/>
      <c r="AA29" s="68"/>
      <c r="AB29" s="100">
        <v>13000</v>
      </c>
      <c r="AC29" s="100">
        <v>13000</v>
      </c>
      <c r="AD29" s="113"/>
    </row>
    <row r="30" spans="1:68" s="1" customFormat="1" x14ac:dyDescent="0.2">
      <c r="A30" s="74" t="s">
        <v>27</v>
      </c>
      <c r="B30" s="73"/>
      <c r="C30" s="68"/>
      <c r="D30" s="68"/>
      <c r="E30" s="101"/>
      <c r="F30" s="101"/>
      <c r="G30" s="68"/>
      <c r="H30" s="68"/>
      <c r="I30" s="68"/>
      <c r="J30" s="68"/>
      <c r="K30" s="68"/>
      <c r="L30" s="68"/>
      <c r="M30" s="68"/>
      <c r="N30" s="100">
        <v>10000</v>
      </c>
      <c r="O30" s="100">
        <v>10000</v>
      </c>
      <c r="P30" s="100">
        <v>10000</v>
      </c>
      <c r="Q30" s="100">
        <v>10000</v>
      </c>
      <c r="R30" s="100">
        <v>10000</v>
      </c>
      <c r="S30" s="100">
        <v>10000</v>
      </c>
      <c r="T30" s="68"/>
      <c r="U30" s="68"/>
      <c r="V30" s="68"/>
      <c r="W30" s="68"/>
      <c r="X30" s="100">
        <v>10000</v>
      </c>
      <c r="Y30" s="100">
        <v>10000</v>
      </c>
      <c r="Z30" s="100">
        <v>10000</v>
      </c>
      <c r="AA30" s="100">
        <v>10000</v>
      </c>
      <c r="AB30" s="100">
        <v>10000</v>
      </c>
      <c r="AC30" s="100">
        <v>10000</v>
      </c>
      <c r="AD30" s="113"/>
    </row>
    <row r="31" spans="1:68" s="1" customFormat="1" x14ac:dyDescent="0.2">
      <c r="A31" s="74" t="s">
        <v>23</v>
      </c>
      <c r="B31" s="99">
        <v>1500</v>
      </c>
      <c r="C31" s="100">
        <v>1500</v>
      </c>
      <c r="D31" s="100">
        <v>1500</v>
      </c>
      <c r="E31" s="100">
        <v>1500</v>
      </c>
      <c r="F31" s="100">
        <v>1500</v>
      </c>
      <c r="G31" s="100">
        <v>1500</v>
      </c>
      <c r="H31" s="68"/>
      <c r="I31" s="68"/>
      <c r="J31" s="68"/>
      <c r="K31" s="68"/>
      <c r="L31" s="68"/>
      <c r="M31" s="100">
        <v>1500</v>
      </c>
      <c r="N31" s="68"/>
      <c r="O31" s="68"/>
      <c r="P31" s="68"/>
      <c r="Q31" s="68"/>
      <c r="R31" s="68"/>
      <c r="S31" s="68"/>
      <c r="T31" s="100">
        <v>1500</v>
      </c>
      <c r="U31" s="100">
        <v>1500</v>
      </c>
      <c r="V31" s="100">
        <v>1500</v>
      </c>
      <c r="W31" s="68"/>
      <c r="X31" s="68"/>
      <c r="Y31" s="68"/>
      <c r="Z31" s="68"/>
      <c r="AA31" s="68"/>
      <c r="AB31" s="68"/>
      <c r="AC31" s="68"/>
      <c r="AD31" s="113"/>
    </row>
    <row r="32" spans="1:68" s="1" customFormat="1" x14ac:dyDescent="0.2">
      <c r="A32" s="74" t="s">
        <v>24</v>
      </c>
      <c r="B32" s="99">
        <v>2000</v>
      </c>
      <c r="C32" s="100">
        <v>2000</v>
      </c>
      <c r="D32" s="68"/>
      <c r="E32" s="101"/>
      <c r="F32" s="100">
        <v>2000</v>
      </c>
      <c r="G32" s="100">
        <v>2000</v>
      </c>
      <c r="H32" s="68"/>
      <c r="I32" s="68"/>
      <c r="J32" s="68"/>
      <c r="K32" s="68"/>
      <c r="L32" s="68"/>
      <c r="M32" s="100">
        <v>2000</v>
      </c>
      <c r="N32" s="68"/>
      <c r="O32" s="68"/>
      <c r="P32" s="68"/>
      <c r="Q32" s="68"/>
      <c r="R32" s="68"/>
      <c r="S32" s="68"/>
      <c r="T32" s="68"/>
      <c r="U32" s="100">
        <v>2000</v>
      </c>
      <c r="V32" s="100"/>
      <c r="W32" s="68"/>
      <c r="X32" s="68"/>
      <c r="Y32" s="68"/>
      <c r="Z32" s="68"/>
      <c r="AA32" s="68"/>
      <c r="AB32" s="68"/>
      <c r="AC32" s="68"/>
      <c r="AD32" s="113"/>
    </row>
    <row r="33" spans="1:30" s="1" customFormat="1" x14ac:dyDescent="0.2">
      <c r="A33" s="74" t="s">
        <v>25</v>
      </c>
      <c r="B33" s="99">
        <v>4000</v>
      </c>
      <c r="C33" s="100">
        <v>4000</v>
      </c>
      <c r="D33" s="100">
        <v>4000</v>
      </c>
      <c r="E33" s="100">
        <v>4000</v>
      </c>
      <c r="F33" s="100">
        <v>4000</v>
      </c>
      <c r="G33" s="100">
        <v>4000</v>
      </c>
      <c r="H33" s="100">
        <v>4000</v>
      </c>
      <c r="I33" s="100">
        <v>4000</v>
      </c>
      <c r="J33" s="100">
        <v>4000</v>
      </c>
      <c r="K33" s="100">
        <v>6000</v>
      </c>
      <c r="L33" s="100">
        <v>6000</v>
      </c>
      <c r="M33" s="100">
        <v>4000</v>
      </c>
      <c r="N33" s="100">
        <v>4000</v>
      </c>
      <c r="O33" s="100">
        <v>4000</v>
      </c>
      <c r="P33" s="100">
        <v>4000</v>
      </c>
      <c r="Q33" s="100">
        <v>4000</v>
      </c>
      <c r="R33" s="68"/>
      <c r="S33" s="68"/>
      <c r="T33" s="100">
        <v>4000</v>
      </c>
      <c r="U33" s="100">
        <v>4000</v>
      </c>
      <c r="V33" s="100">
        <v>4000</v>
      </c>
      <c r="W33" s="100">
        <v>6000</v>
      </c>
      <c r="X33" s="100">
        <v>6000</v>
      </c>
      <c r="Y33" s="100">
        <v>6000</v>
      </c>
      <c r="Z33" s="100">
        <v>6000</v>
      </c>
      <c r="AA33" s="100">
        <v>6000</v>
      </c>
      <c r="AB33" s="100">
        <v>6000</v>
      </c>
      <c r="AC33" s="100">
        <v>6000</v>
      </c>
      <c r="AD33" s="113"/>
    </row>
    <row r="34" spans="1:30" s="1" customFormat="1" x14ac:dyDescent="0.2">
      <c r="A34" s="74" t="s">
        <v>26</v>
      </c>
      <c r="B34" s="99">
        <v>6500</v>
      </c>
      <c r="C34" s="100">
        <v>6500</v>
      </c>
      <c r="D34" s="100">
        <v>1500</v>
      </c>
      <c r="E34" s="100">
        <v>1500</v>
      </c>
      <c r="F34" s="100">
        <v>6500</v>
      </c>
      <c r="G34" s="100">
        <v>6500</v>
      </c>
      <c r="H34" s="100">
        <v>6500</v>
      </c>
      <c r="I34" s="100">
        <v>6500</v>
      </c>
      <c r="J34" s="100">
        <v>1500</v>
      </c>
      <c r="K34" s="100">
        <v>6500</v>
      </c>
      <c r="L34" s="100">
        <v>1500</v>
      </c>
      <c r="M34" s="100">
        <v>6500</v>
      </c>
      <c r="N34" s="100">
        <v>10000</v>
      </c>
      <c r="O34" s="100">
        <v>10000</v>
      </c>
      <c r="P34" s="100">
        <v>6500</v>
      </c>
      <c r="Q34" s="100">
        <v>6500</v>
      </c>
      <c r="R34" s="100">
        <v>10000</v>
      </c>
      <c r="S34" s="100">
        <v>10000</v>
      </c>
      <c r="T34" s="100">
        <v>1500</v>
      </c>
      <c r="U34" s="100">
        <v>6500</v>
      </c>
      <c r="V34" s="100">
        <v>6500</v>
      </c>
      <c r="W34" s="100">
        <v>1500</v>
      </c>
      <c r="X34" s="100">
        <v>1500</v>
      </c>
      <c r="Y34" s="100">
        <v>1500</v>
      </c>
      <c r="Z34" s="100">
        <v>1500</v>
      </c>
      <c r="AA34" s="100">
        <v>1500</v>
      </c>
      <c r="AB34" s="100">
        <v>1500</v>
      </c>
      <c r="AC34" s="100">
        <v>1500</v>
      </c>
      <c r="AD34" s="113"/>
    </row>
    <row r="35" spans="1:30" s="1" customFormat="1" x14ac:dyDescent="0.2">
      <c r="A35" s="74" t="s">
        <v>145</v>
      </c>
      <c r="B35" s="73"/>
      <c r="C35" s="68"/>
      <c r="D35" s="68"/>
      <c r="E35" s="101"/>
      <c r="F35" s="101"/>
      <c r="G35" s="68"/>
      <c r="H35" s="68"/>
      <c r="I35" s="68"/>
      <c r="J35" s="68"/>
      <c r="K35" s="68"/>
      <c r="L35" s="68"/>
      <c r="M35" s="68"/>
      <c r="N35" s="68"/>
      <c r="O35" s="100"/>
      <c r="P35" s="68"/>
      <c r="Q35" s="100"/>
      <c r="R35" s="68"/>
      <c r="S35" s="100"/>
      <c r="T35" s="68"/>
      <c r="U35" s="68"/>
      <c r="V35" s="68"/>
      <c r="W35" s="68"/>
      <c r="X35" s="68"/>
      <c r="Y35" s="100"/>
      <c r="Z35" s="68"/>
      <c r="AA35" s="100"/>
      <c r="AB35" s="68"/>
      <c r="AC35" s="100"/>
      <c r="AD35" s="113"/>
    </row>
    <row r="36" spans="1:30" s="1" customFormat="1" x14ac:dyDescent="0.2">
      <c r="A36" s="71" t="s">
        <v>29</v>
      </c>
      <c r="B36" s="102"/>
      <c r="C36" s="70"/>
      <c r="D36" s="70"/>
      <c r="E36" s="103"/>
      <c r="F36" s="103"/>
      <c r="G36" s="70"/>
      <c r="H36" s="70"/>
      <c r="I36" s="70"/>
      <c r="J36" s="70"/>
      <c r="K36" s="70"/>
      <c r="L36" s="70"/>
      <c r="M36" s="70"/>
      <c r="N36" s="70"/>
      <c r="O36" s="104">
        <v>5000</v>
      </c>
      <c r="P36" s="70"/>
      <c r="Q36" s="104">
        <v>5000</v>
      </c>
      <c r="R36" s="70"/>
      <c r="S36" s="104">
        <v>5000</v>
      </c>
      <c r="T36" s="70"/>
      <c r="U36" s="70"/>
      <c r="V36" s="70"/>
      <c r="W36" s="70"/>
      <c r="X36" s="70"/>
      <c r="Y36" s="104">
        <v>5000</v>
      </c>
      <c r="Z36" s="70"/>
      <c r="AA36" s="104">
        <v>5000</v>
      </c>
      <c r="AB36" s="70"/>
      <c r="AC36" s="104">
        <v>5000</v>
      </c>
      <c r="AD36" s="113"/>
    </row>
    <row r="37" spans="1:30" s="1" customFormat="1" x14ac:dyDescent="0.2">
      <c r="A37" s="139" t="s">
        <v>1</v>
      </c>
      <c r="B37" s="145">
        <f t="shared" ref="B37:AC37" si="0">SUM(B27:B36)</f>
        <v>37000</v>
      </c>
      <c r="C37" s="145">
        <f t="shared" si="0"/>
        <v>47000</v>
      </c>
      <c r="D37" s="145">
        <f t="shared" si="0"/>
        <v>34000</v>
      </c>
      <c r="E37" s="145">
        <f t="shared" si="0"/>
        <v>47000</v>
      </c>
      <c r="F37" s="145">
        <f t="shared" si="0"/>
        <v>59000</v>
      </c>
      <c r="G37" s="145">
        <f t="shared" si="0"/>
        <v>66000</v>
      </c>
      <c r="H37" s="145">
        <f t="shared" si="0"/>
        <v>41500</v>
      </c>
      <c r="I37" s="145">
        <f t="shared" si="0"/>
        <v>41500</v>
      </c>
      <c r="J37" s="145">
        <f t="shared" si="0"/>
        <v>27500</v>
      </c>
      <c r="K37" s="145">
        <f t="shared" si="0"/>
        <v>47500</v>
      </c>
      <c r="L37" s="145">
        <f t="shared" si="0"/>
        <v>48400</v>
      </c>
      <c r="M37" s="145">
        <f t="shared" si="0"/>
        <v>47000</v>
      </c>
      <c r="N37" s="145">
        <f t="shared" si="0"/>
        <v>37000</v>
      </c>
      <c r="O37" s="145">
        <f t="shared" si="0"/>
        <v>42000</v>
      </c>
      <c r="P37" s="145">
        <f t="shared" si="0"/>
        <v>41500</v>
      </c>
      <c r="Q37" s="145">
        <f t="shared" si="0"/>
        <v>46500</v>
      </c>
      <c r="R37" s="145">
        <f t="shared" si="0"/>
        <v>42000</v>
      </c>
      <c r="S37" s="145">
        <f t="shared" si="0"/>
        <v>47000</v>
      </c>
      <c r="T37" s="145">
        <f t="shared" si="0"/>
        <v>47000</v>
      </c>
      <c r="U37" s="145">
        <f t="shared" si="0"/>
        <v>54000</v>
      </c>
      <c r="V37" s="145">
        <f t="shared" si="0"/>
        <v>62000</v>
      </c>
      <c r="W37" s="145">
        <f t="shared" si="0"/>
        <v>61400</v>
      </c>
      <c r="X37" s="145">
        <f t="shared" si="0"/>
        <v>52500</v>
      </c>
      <c r="Y37" s="145">
        <f t="shared" si="0"/>
        <v>57500</v>
      </c>
      <c r="Z37" s="145">
        <f t="shared" si="0"/>
        <v>58400</v>
      </c>
      <c r="AA37" s="145">
        <f t="shared" si="0"/>
        <v>63400</v>
      </c>
      <c r="AB37" s="145">
        <f t="shared" si="0"/>
        <v>71400</v>
      </c>
      <c r="AC37" s="145">
        <f t="shared" si="0"/>
        <v>76400</v>
      </c>
      <c r="AD37" s="113"/>
    </row>
    <row r="38" spans="1:30" s="1" customFormat="1" x14ac:dyDescent="0.2">
      <c r="A38" s="71" t="s">
        <v>130</v>
      </c>
      <c r="B38" s="99">
        <v>0</v>
      </c>
      <c r="C38" s="99">
        <v>0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v>0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113"/>
    </row>
    <row r="39" spans="1:30" s="1" customFormat="1" x14ac:dyDescent="0.2">
      <c r="A39" s="71" t="s">
        <v>131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113"/>
    </row>
    <row r="40" spans="1:30" s="1" customFormat="1" x14ac:dyDescent="0.2">
      <c r="A40" s="71" t="s">
        <v>140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113"/>
    </row>
    <row r="41" spans="1:30" x14ac:dyDescent="0.2">
      <c r="A41" s="177" t="s">
        <v>7</v>
      </c>
      <c r="B41" s="233">
        <f>B38+B39+B40</f>
        <v>0</v>
      </c>
      <c r="C41" s="233">
        <f t="shared" ref="C41:AC41" si="1">C38+C39+C40</f>
        <v>0</v>
      </c>
      <c r="D41" s="233">
        <f t="shared" si="1"/>
        <v>0</v>
      </c>
      <c r="E41" s="233">
        <f t="shared" si="1"/>
        <v>0</v>
      </c>
      <c r="F41" s="233">
        <f t="shared" si="1"/>
        <v>0</v>
      </c>
      <c r="G41" s="233">
        <f t="shared" si="1"/>
        <v>0</v>
      </c>
      <c r="H41" s="233">
        <f t="shared" si="1"/>
        <v>0</v>
      </c>
      <c r="I41" s="233">
        <f t="shared" si="1"/>
        <v>0</v>
      </c>
      <c r="J41" s="233">
        <f t="shared" si="1"/>
        <v>0</v>
      </c>
      <c r="K41" s="233">
        <f t="shared" si="1"/>
        <v>0</v>
      </c>
      <c r="L41" s="233">
        <f t="shared" si="1"/>
        <v>0</v>
      </c>
      <c r="M41" s="233">
        <f t="shared" si="1"/>
        <v>0</v>
      </c>
      <c r="N41" s="233">
        <f t="shared" si="1"/>
        <v>0</v>
      </c>
      <c r="O41" s="233">
        <f t="shared" si="1"/>
        <v>0</v>
      </c>
      <c r="P41" s="233">
        <f t="shared" si="1"/>
        <v>0</v>
      </c>
      <c r="Q41" s="233">
        <f t="shared" si="1"/>
        <v>0</v>
      </c>
      <c r="R41" s="233">
        <f t="shared" si="1"/>
        <v>0</v>
      </c>
      <c r="S41" s="233">
        <f t="shared" si="1"/>
        <v>0</v>
      </c>
      <c r="T41" s="233">
        <f t="shared" si="1"/>
        <v>0</v>
      </c>
      <c r="U41" s="233">
        <f t="shared" si="1"/>
        <v>0</v>
      </c>
      <c r="V41" s="233">
        <f t="shared" si="1"/>
        <v>0</v>
      </c>
      <c r="W41" s="233">
        <f t="shared" si="1"/>
        <v>0</v>
      </c>
      <c r="X41" s="233">
        <f t="shared" si="1"/>
        <v>0</v>
      </c>
      <c r="Y41" s="233">
        <f t="shared" si="1"/>
        <v>0</v>
      </c>
      <c r="Z41" s="233">
        <f t="shared" si="1"/>
        <v>0</v>
      </c>
      <c r="AA41" s="233">
        <f t="shared" si="1"/>
        <v>0</v>
      </c>
      <c r="AB41" s="233">
        <f t="shared" si="1"/>
        <v>0</v>
      </c>
      <c r="AC41" s="233">
        <f t="shared" si="1"/>
        <v>0</v>
      </c>
      <c r="AD41" s="113"/>
    </row>
    <row r="42" spans="1:30" x14ac:dyDescent="0.2">
      <c r="A42" s="1" t="s">
        <v>30</v>
      </c>
      <c r="B42" s="94">
        <f t="shared" ref="B42:AC42" si="2">B37-B41</f>
        <v>37000</v>
      </c>
      <c r="C42" s="49">
        <f t="shared" si="2"/>
        <v>47000</v>
      </c>
      <c r="D42" s="49">
        <f t="shared" si="2"/>
        <v>34000</v>
      </c>
      <c r="E42" s="49">
        <f t="shared" si="2"/>
        <v>47000</v>
      </c>
      <c r="F42" s="49">
        <f t="shared" si="2"/>
        <v>59000</v>
      </c>
      <c r="G42" s="49">
        <f t="shared" si="2"/>
        <v>66000</v>
      </c>
      <c r="H42" s="49">
        <f t="shared" si="2"/>
        <v>41500</v>
      </c>
      <c r="I42" s="49">
        <f t="shared" si="2"/>
        <v>41500</v>
      </c>
      <c r="J42" s="49">
        <f t="shared" si="2"/>
        <v>27500</v>
      </c>
      <c r="K42" s="49">
        <f t="shared" si="2"/>
        <v>47500</v>
      </c>
      <c r="L42" s="49">
        <f t="shared" si="2"/>
        <v>48400</v>
      </c>
      <c r="M42" s="49">
        <f t="shared" si="2"/>
        <v>47000</v>
      </c>
      <c r="N42" s="49">
        <f t="shared" si="2"/>
        <v>37000</v>
      </c>
      <c r="O42" s="49">
        <f t="shared" si="2"/>
        <v>42000</v>
      </c>
      <c r="P42" s="49">
        <f t="shared" si="2"/>
        <v>41500</v>
      </c>
      <c r="Q42" s="49">
        <f t="shared" si="2"/>
        <v>46500</v>
      </c>
      <c r="R42" s="49">
        <f t="shared" si="2"/>
        <v>42000</v>
      </c>
      <c r="S42" s="49">
        <f t="shared" si="2"/>
        <v>47000</v>
      </c>
      <c r="T42" s="49">
        <f t="shared" si="2"/>
        <v>47000</v>
      </c>
      <c r="U42" s="49">
        <f t="shared" si="2"/>
        <v>54000</v>
      </c>
      <c r="V42" s="49">
        <f t="shared" si="2"/>
        <v>62000</v>
      </c>
      <c r="W42" s="49">
        <f t="shared" si="2"/>
        <v>61400</v>
      </c>
      <c r="X42" s="49">
        <f t="shared" si="2"/>
        <v>52500</v>
      </c>
      <c r="Y42" s="49">
        <f t="shared" si="2"/>
        <v>57500</v>
      </c>
      <c r="Z42" s="49">
        <f t="shared" si="2"/>
        <v>58400</v>
      </c>
      <c r="AA42" s="49">
        <f t="shared" si="2"/>
        <v>63400</v>
      </c>
      <c r="AB42" s="49">
        <f t="shared" si="2"/>
        <v>71400</v>
      </c>
      <c r="AC42" s="49">
        <f t="shared" si="2"/>
        <v>76400</v>
      </c>
      <c r="AD42" s="113"/>
    </row>
    <row r="43" spans="1:30" x14ac:dyDescent="0.2">
      <c r="A43" s="139" t="s">
        <v>105</v>
      </c>
      <c r="B43" s="148">
        <v>0</v>
      </c>
      <c r="C43" s="149">
        <f>C42-$B$42</f>
        <v>10000</v>
      </c>
      <c r="D43" s="149">
        <f t="shared" ref="D43:AC43" si="3">D42-$B$42</f>
        <v>-3000</v>
      </c>
      <c r="E43" s="149">
        <f t="shared" si="3"/>
        <v>10000</v>
      </c>
      <c r="F43" s="149">
        <f t="shared" si="3"/>
        <v>22000</v>
      </c>
      <c r="G43" s="149">
        <f t="shared" si="3"/>
        <v>29000</v>
      </c>
      <c r="H43" s="149">
        <f t="shared" si="3"/>
        <v>4500</v>
      </c>
      <c r="I43" s="149">
        <f t="shared" si="3"/>
        <v>4500</v>
      </c>
      <c r="J43" s="149">
        <f t="shared" si="3"/>
        <v>-9500</v>
      </c>
      <c r="K43" s="149">
        <f t="shared" si="3"/>
        <v>10500</v>
      </c>
      <c r="L43" s="149">
        <f t="shared" si="3"/>
        <v>11400</v>
      </c>
      <c r="M43" s="149">
        <f t="shared" si="3"/>
        <v>10000</v>
      </c>
      <c r="N43" s="149">
        <f t="shared" si="3"/>
        <v>0</v>
      </c>
      <c r="O43" s="149">
        <f t="shared" si="3"/>
        <v>5000</v>
      </c>
      <c r="P43" s="149">
        <f t="shared" si="3"/>
        <v>4500</v>
      </c>
      <c r="Q43" s="149">
        <f t="shared" si="3"/>
        <v>9500</v>
      </c>
      <c r="R43" s="149">
        <f t="shared" si="3"/>
        <v>5000</v>
      </c>
      <c r="S43" s="149">
        <f t="shared" si="3"/>
        <v>10000</v>
      </c>
      <c r="T43" s="149">
        <f t="shared" si="3"/>
        <v>10000</v>
      </c>
      <c r="U43" s="149">
        <f t="shared" si="3"/>
        <v>17000</v>
      </c>
      <c r="V43" s="149">
        <f t="shared" si="3"/>
        <v>25000</v>
      </c>
      <c r="W43" s="149">
        <f t="shared" si="3"/>
        <v>24400</v>
      </c>
      <c r="X43" s="149">
        <f t="shared" si="3"/>
        <v>15500</v>
      </c>
      <c r="Y43" s="149">
        <f t="shared" si="3"/>
        <v>20500</v>
      </c>
      <c r="Z43" s="149">
        <f t="shared" si="3"/>
        <v>21400</v>
      </c>
      <c r="AA43" s="149">
        <f t="shared" si="3"/>
        <v>26400</v>
      </c>
      <c r="AB43" s="149">
        <f t="shared" si="3"/>
        <v>34400</v>
      </c>
      <c r="AC43" s="149">
        <f t="shared" si="3"/>
        <v>39400</v>
      </c>
      <c r="AD43" s="113"/>
    </row>
    <row r="44" spans="1:30" x14ac:dyDescent="0.2">
      <c r="A44" s="97" t="s">
        <v>106</v>
      </c>
      <c r="B44" s="105">
        <v>4550</v>
      </c>
      <c r="C44" s="105">
        <f>'Haustechnikvarianten gesamt'!C42*'Haustechnikvarianten berechnen'!$AD$6</f>
        <v>1490</v>
      </c>
      <c r="D44" s="105">
        <f>'Haustechnikvarianten gesamt'!D42*'Haustechnikvarianten berechnen'!$AD$6</f>
        <v>11210</v>
      </c>
      <c r="E44" s="105">
        <f>'Haustechnikvarianten gesamt'!E42*'Haustechnikvarianten berechnen'!$AD$6</f>
        <v>8760</v>
      </c>
      <c r="F44" s="105">
        <f>'Haustechnikvarianten gesamt'!F42*'Haustechnikvarianten berechnen'!$AD$6</f>
        <v>4360</v>
      </c>
      <c r="G44" s="105">
        <f>'Haustechnikvarianten gesamt'!G42*'Haustechnikvarianten berechnen'!$AD$6</f>
        <v>4750</v>
      </c>
      <c r="H44" s="105">
        <f>'Haustechnikvarianten gesamt'!H42*'Haustechnikvarianten berechnen'!$AD$6</f>
        <v>3110</v>
      </c>
      <c r="I44" s="105">
        <f>'Haustechnikvarianten gesamt'!I42*'Haustechnikvarianten berechnen'!$AD$6</f>
        <v>3110</v>
      </c>
      <c r="J44" s="105">
        <f>'Haustechnikvarianten gesamt'!J42*'Haustechnikvarianten berechnen'!$AD$6</f>
        <v>6790</v>
      </c>
      <c r="K44" s="105">
        <f>'Haustechnikvarianten gesamt'!K42*'Haustechnikvarianten berechnen'!$AD$6</f>
        <v>895</v>
      </c>
      <c r="L44" s="105">
        <f>'Haustechnikvarianten gesamt'!L42*'Haustechnikvarianten berechnen'!$AD$6</f>
        <v>1010</v>
      </c>
      <c r="M44" s="105">
        <f>'Haustechnikvarianten gesamt'!M42*'Haustechnikvarianten berechnen'!$AD$6</f>
        <v>1490</v>
      </c>
      <c r="N44" s="105">
        <f>'Haustechnikvarianten gesamt'!N42*'Haustechnikvarianten berechnen'!$AD$6</f>
        <v>0</v>
      </c>
      <c r="O44" s="105">
        <f>'Haustechnikvarianten gesamt'!O42*'Haustechnikvarianten berechnen'!$AD$6</f>
        <v>0</v>
      </c>
      <c r="P44" s="105">
        <f>'Haustechnikvarianten gesamt'!P42*'Haustechnikvarianten berechnen'!$AD$6</f>
        <v>0</v>
      </c>
      <c r="Q44" s="105">
        <f>'Haustechnikvarianten gesamt'!Q42*'Haustechnikvarianten berechnen'!$AD$6</f>
        <v>0</v>
      </c>
      <c r="R44" s="105">
        <f>'Haustechnikvarianten gesamt'!R42*'Haustechnikvarianten berechnen'!$AD$6</f>
        <v>0</v>
      </c>
      <c r="S44" s="105">
        <f>'Haustechnikvarianten gesamt'!S42*'Haustechnikvarianten berechnen'!$AD$6</f>
        <v>0</v>
      </c>
      <c r="T44" s="105">
        <f>'Haustechnikvarianten gesamt'!T42*'Haustechnikvarianten berechnen'!$AD$6</f>
        <v>4380</v>
      </c>
      <c r="U44" s="105">
        <f>'Haustechnikvarianten gesamt'!U42*'Haustechnikvarianten berechnen'!$AD$6</f>
        <v>490</v>
      </c>
      <c r="V44" s="105">
        <f>'Haustechnikvarianten gesamt'!V42*'Haustechnikvarianten berechnen'!$AD$6</f>
        <v>540</v>
      </c>
      <c r="W44" s="105">
        <f>'Haustechnikvarianten gesamt'!W42*'Haustechnikvarianten berechnen'!$AD$6</f>
        <v>590</v>
      </c>
      <c r="X44" s="105">
        <f>'Haustechnikvarianten gesamt'!X42*'Haustechnikvarianten berechnen'!$AD$6</f>
        <v>0</v>
      </c>
      <c r="Y44" s="105">
        <f>'Haustechnikvarianten gesamt'!Y42*'Haustechnikvarianten berechnen'!$AD$6</f>
        <v>0</v>
      </c>
      <c r="Z44" s="105">
        <f>'Haustechnikvarianten gesamt'!Z42*'Haustechnikvarianten berechnen'!$AD$6</f>
        <v>0</v>
      </c>
      <c r="AA44" s="105">
        <f>'Haustechnikvarianten gesamt'!AA42*'Haustechnikvarianten berechnen'!$AD$6</f>
        <v>0</v>
      </c>
      <c r="AB44" s="105">
        <f>'Haustechnikvarianten gesamt'!AB42*'Haustechnikvarianten berechnen'!$AD$6</f>
        <v>0</v>
      </c>
      <c r="AC44" s="105">
        <f>'Haustechnikvarianten gesamt'!AC42*'Haustechnikvarianten berechnen'!$AD$6</f>
        <v>0</v>
      </c>
      <c r="AD44" s="113"/>
    </row>
    <row r="45" spans="1:30" x14ac:dyDescent="0.2">
      <c r="A45" s="74" t="s">
        <v>107</v>
      </c>
      <c r="B45" s="106">
        <v>540</v>
      </c>
      <c r="C45" s="106">
        <f>'Haustechnikvarianten gesamt'!C43*'Haustechnikvarianten berechnen'!$AD$6</f>
        <v>640</v>
      </c>
      <c r="D45" s="106">
        <f>'Haustechnikvarianten gesamt'!D43*'Haustechnikvarianten berechnen'!$AD$6</f>
        <v>370</v>
      </c>
      <c r="E45" s="106">
        <f>'Haustechnikvarianten gesamt'!E43*'Haustechnikvarianten berechnen'!$AD$6</f>
        <v>590</v>
      </c>
      <c r="F45" s="106">
        <f>'Haustechnikvarianten gesamt'!F43*'Haustechnikvarianten berechnen'!$AD$6</f>
        <v>0</v>
      </c>
      <c r="G45" s="106">
        <f>'Haustechnikvarianten gesamt'!G43*'Haustechnikvarianten berechnen'!$AD$6</f>
        <v>0</v>
      </c>
      <c r="H45" s="106">
        <f>'Haustechnikvarianten gesamt'!H43*'Haustechnikvarianten berechnen'!$AD$6</f>
        <v>580</v>
      </c>
      <c r="I45" s="106">
        <f>'Haustechnikvarianten gesamt'!I43*'Haustechnikvarianten berechnen'!$AD$6</f>
        <v>580</v>
      </c>
      <c r="J45" s="106">
        <f>'Haustechnikvarianten gesamt'!J43*'Haustechnikvarianten berechnen'!$AD$6</f>
        <v>390</v>
      </c>
      <c r="K45" s="106">
        <f>'Haustechnikvarianten gesamt'!K43*'Haustechnikvarianten berechnen'!$AD$6</f>
        <v>715</v>
      </c>
      <c r="L45" s="106">
        <f>'Haustechnikvarianten gesamt'!L43*'Haustechnikvarianten berechnen'!$AD$6</f>
        <v>710</v>
      </c>
      <c r="M45" s="106">
        <f>'Haustechnikvarianten gesamt'!M43*'Haustechnikvarianten berechnen'!$AD$6</f>
        <v>640</v>
      </c>
      <c r="N45" s="106">
        <f>'Haustechnikvarianten gesamt'!N43*'Haustechnikvarianten berechnen'!$AD$6</f>
        <v>1540</v>
      </c>
      <c r="O45" s="106">
        <f>'Haustechnikvarianten gesamt'!O43*'Haustechnikvarianten berechnen'!$AD$6</f>
        <v>1540</v>
      </c>
      <c r="P45" s="106">
        <f>'Haustechnikvarianten gesamt'!P43*'Haustechnikvarianten berechnen'!$AD$6</f>
        <v>1770</v>
      </c>
      <c r="Q45" s="106">
        <f>'Haustechnikvarianten gesamt'!Q43*'Haustechnikvarianten berechnen'!$AD$6</f>
        <v>1770</v>
      </c>
      <c r="R45" s="106">
        <f>'Haustechnikvarianten gesamt'!R43*'Haustechnikvarianten berechnen'!$AD$6</f>
        <v>950</v>
      </c>
      <c r="S45" s="106">
        <f>'Haustechnikvarianten gesamt'!S43*'Haustechnikvarianten berechnen'!$AD$6</f>
        <v>950</v>
      </c>
      <c r="T45" s="106">
        <f>'Haustechnikvarianten gesamt'!T43*'Haustechnikvarianten berechnen'!$AD$6</f>
        <v>430</v>
      </c>
      <c r="U45" s="106">
        <f>'Haustechnikvarianten gesamt'!U43*'Haustechnikvarianten berechnen'!$AD$6</f>
        <v>1450</v>
      </c>
      <c r="V45" s="106">
        <f>'Haustechnikvarianten gesamt'!V43*'Haustechnikvarianten berechnen'!$AD$6</f>
        <v>1450</v>
      </c>
      <c r="W45" s="106">
        <f>'Haustechnikvarianten gesamt'!W43*'Haustechnikvarianten berechnen'!$AD$6</f>
        <v>750</v>
      </c>
      <c r="X45" s="106">
        <f>'Haustechnikvarianten gesamt'!X43*'Haustechnikvarianten berechnen'!$AD$6</f>
        <v>1170</v>
      </c>
      <c r="Y45" s="106">
        <f>'Haustechnikvarianten gesamt'!Y43*'Haustechnikvarianten berechnen'!$AD$6</f>
        <v>1170</v>
      </c>
      <c r="Z45" s="106">
        <f>'Haustechnikvarianten gesamt'!Z43*'Haustechnikvarianten berechnen'!$AD$6</f>
        <v>1040</v>
      </c>
      <c r="AA45" s="106">
        <f>'Haustechnikvarianten gesamt'!AA43*'Haustechnikvarianten berechnen'!$AD$6</f>
        <v>1040</v>
      </c>
      <c r="AB45" s="106">
        <f>'Haustechnikvarianten gesamt'!AB43*'Haustechnikvarianten berechnen'!$AD$6</f>
        <v>610</v>
      </c>
      <c r="AC45" s="106">
        <f>'Haustechnikvarianten gesamt'!AC43*'Haustechnikvarianten berechnen'!$AD$6</f>
        <v>610</v>
      </c>
      <c r="AD45" s="113"/>
    </row>
    <row r="46" spans="1:30" x14ac:dyDescent="0.2">
      <c r="A46" s="74" t="s">
        <v>74</v>
      </c>
      <c r="B46" s="106">
        <f>B44+B45</f>
        <v>5090</v>
      </c>
      <c r="C46" s="67">
        <f>C44+C45</f>
        <v>2130</v>
      </c>
      <c r="D46" s="67">
        <f t="shared" ref="D46:AC46" si="4">D44+D45</f>
        <v>11580</v>
      </c>
      <c r="E46" s="67">
        <f t="shared" si="4"/>
        <v>9350</v>
      </c>
      <c r="F46" s="67">
        <f t="shared" si="4"/>
        <v>4360</v>
      </c>
      <c r="G46" s="67">
        <f t="shared" si="4"/>
        <v>4750</v>
      </c>
      <c r="H46" s="67">
        <f t="shared" si="4"/>
        <v>3690</v>
      </c>
      <c r="I46" s="67">
        <f t="shared" si="4"/>
        <v>3690</v>
      </c>
      <c r="J46" s="67">
        <f t="shared" si="4"/>
        <v>7180</v>
      </c>
      <c r="K46" s="67">
        <f t="shared" si="4"/>
        <v>1610</v>
      </c>
      <c r="L46" s="67">
        <f t="shared" si="4"/>
        <v>1720</v>
      </c>
      <c r="M46" s="67">
        <f t="shared" si="4"/>
        <v>2130</v>
      </c>
      <c r="N46" s="67">
        <f t="shared" si="4"/>
        <v>1540</v>
      </c>
      <c r="O46" s="67">
        <f t="shared" si="4"/>
        <v>1540</v>
      </c>
      <c r="P46" s="67">
        <f t="shared" si="4"/>
        <v>1770</v>
      </c>
      <c r="Q46" s="67">
        <f t="shared" si="4"/>
        <v>1770</v>
      </c>
      <c r="R46" s="67">
        <f t="shared" si="4"/>
        <v>950</v>
      </c>
      <c r="S46" s="67">
        <f t="shared" si="4"/>
        <v>950</v>
      </c>
      <c r="T46" s="67">
        <f t="shared" si="4"/>
        <v>4810</v>
      </c>
      <c r="U46" s="67">
        <f t="shared" si="4"/>
        <v>1940</v>
      </c>
      <c r="V46" s="67">
        <f t="shared" si="4"/>
        <v>1990</v>
      </c>
      <c r="W46" s="67">
        <f t="shared" si="4"/>
        <v>1340</v>
      </c>
      <c r="X46" s="67">
        <f t="shared" si="4"/>
        <v>1170</v>
      </c>
      <c r="Y46" s="67">
        <f t="shared" si="4"/>
        <v>1170</v>
      </c>
      <c r="Z46" s="67">
        <f t="shared" si="4"/>
        <v>1040</v>
      </c>
      <c r="AA46" s="67">
        <f t="shared" si="4"/>
        <v>1040</v>
      </c>
      <c r="AB46" s="67">
        <f t="shared" si="4"/>
        <v>610</v>
      </c>
      <c r="AC46" s="67">
        <f t="shared" si="4"/>
        <v>610</v>
      </c>
      <c r="AD46" s="113"/>
    </row>
    <row r="47" spans="1:30" x14ac:dyDescent="0.2">
      <c r="A47" s="74" t="s">
        <v>108</v>
      </c>
      <c r="B47" s="73">
        <f>10*ROUND((B44*$B$8+B45*$B$12)/1000,0)</f>
        <v>760</v>
      </c>
      <c r="C47" s="68">
        <f>10*ROUNDUP((C44*$B$8+C45*$B$12)/1000,0)</f>
        <v>440</v>
      </c>
      <c r="D47" s="68">
        <f>10*ROUND((D44*$E$9+D45*$B$12)/1000,0)</f>
        <v>740</v>
      </c>
      <c r="E47" s="68">
        <f>10*ROUND((E44*$E$10+E45*$B$12)/1000,0)</f>
        <v>770</v>
      </c>
      <c r="F47" s="68">
        <f>10*ROUND((F44*$B$8+F45*$B$12)/1000,0)</f>
        <v>520</v>
      </c>
      <c r="G47" s="68">
        <f>10*ROUND((G44*$B$8+G45*$B$12)/1000,0)</f>
        <v>570</v>
      </c>
      <c r="H47" s="68">
        <f>10*ROUND((H44*$B$11+H45*$B$12)/1000,0)</f>
        <v>530</v>
      </c>
      <c r="I47" s="68">
        <f>10*ROUND((I44*$B$11+I45*$B$12)/1000,0)</f>
        <v>530</v>
      </c>
      <c r="J47" s="68">
        <f>10*ROUND((J44*$B$11+J45*$B$12)/1000,0)</f>
        <v>800</v>
      </c>
      <c r="K47" s="68">
        <f>10*ROUNDUP((K44*$B$13+K45*$B$12)/1000,0)</f>
        <v>560</v>
      </c>
      <c r="L47" s="68">
        <f>10*ROUNDDOWN((L44*$B$13+L45*$B$12)/1000,0)</f>
        <v>580</v>
      </c>
      <c r="M47" s="68">
        <f>10*ROUNDUP((M44*$B$8+M45*$B$12)/1000,0)</f>
        <v>440</v>
      </c>
      <c r="N47" s="68">
        <f t="shared" ref="N47:S47" si="5">10*ROUND((N44*$B$8+N45*$B$12)/1000,0)</f>
        <v>620</v>
      </c>
      <c r="O47" s="68">
        <f t="shared" si="5"/>
        <v>620</v>
      </c>
      <c r="P47" s="68">
        <f t="shared" si="5"/>
        <v>710</v>
      </c>
      <c r="Q47" s="68">
        <f t="shared" si="5"/>
        <v>710</v>
      </c>
      <c r="R47" s="68">
        <f t="shared" si="5"/>
        <v>380</v>
      </c>
      <c r="S47" s="68">
        <f t="shared" si="5"/>
        <v>380</v>
      </c>
      <c r="T47" s="68">
        <f>10*ROUND((T44*$E$9+T45*$B$12)/1000,0)</f>
        <v>400</v>
      </c>
      <c r="U47" s="68">
        <f>10*ROUND((U44*$B$8+U45*$B$13*1.05)/1000,0)</f>
        <v>520</v>
      </c>
      <c r="V47" s="68">
        <f>10*ROUND((V44*$E$10+V45*$B$13*1.05)/1000,0)</f>
        <v>490</v>
      </c>
      <c r="W47" s="68">
        <f t="shared" ref="W47:AC47" si="6">10*ROUND((W44*$B$13+W45*$B$12)/1000,0)</f>
        <v>480</v>
      </c>
      <c r="X47" s="68">
        <f t="shared" si="6"/>
        <v>470</v>
      </c>
      <c r="Y47" s="68">
        <f t="shared" si="6"/>
        <v>470</v>
      </c>
      <c r="Z47" s="68">
        <f t="shared" si="6"/>
        <v>420</v>
      </c>
      <c r="AA47" s="68">
        <f t="shared" si="6"/>
        <v>420</v>
      </c>
      <c r="AB47" s="68">
        <f t="shared" si="6"/>
        <v>240</v>
      </c>
      <c r="AC47" s="68">
        <f t="shared" si="6"/>
        <v>240</v>
      </c>
      <c r="AD47" s="113"/>
    </row>
    <row r="48" spans="1:30" x14ac:dyDescent="0.2">
      <c r="A48" s="74" t="s">
        <v>109</v>
      </c>
      <c r="B48" s="107">
        <f>'Haustechnikvarianten gesamt'!B46</f>
        <v>0</v>
      </c>
      <c r="C48" s="108">
        <f>'Haustechnikvarianten gesamt'!C46</f>
        <v>0</v>
      </c>
      <c r="D48" s="108">
        <f>'Haustechnikvarianten gesamt'!D46</f>
        <v>0</v>
      </c>
      <c r="E48" s="108">
        <v>0</v>
      </c>
      <c r="F48" s="108">
        <v>1120</v>
      </c>
      <c r="G48" s="108">
        <v>1470</v>
      </c>
      <c r="H48" s="108">
        <f>'Haustechnikvarianten gesamt'!H46</f>
        <v>0</v>
      </c>
      <c r="I48" s="108">
        <f>'Haustechnikvarianten gesamt'!I46</f>
        <v>0</v>
      </c>
      <c r="J48" s="108">
        <f>'Haustechnikvarianten gesamt'!J46</f>
        <v>0</v>
      </c>
      <c r="K48" s="108">
        <f>'Haustechnikvarianten gesamt'!K46</f>
        <v>0</v>
      </c>
      <c r="L48" s="108">
        <f>'Haustechnikvarianten gesamt'!L46</f>
        <v>0</v>
      </c>
      <c r="M48" s="108">
        <f>'Haustechnikvarianten gesamt'!M46</f>
        <v>0</v>
      </c>
      <c r="N48" s="108">
        <f>'Haustechnikvarianten gesamt'!N46*$AD$7</f>
        <v>2500</v>
      </c>
      <c r="O48" s="108">
        <f>'Haustechnikvarianten gesamt'!O46*$AD$7</f>
        <v>2500</v>
      </c>
      <c r="P48" s="108">
        <f>'Haustechnikvarianten gesamt'!P46*$AD$7</f>
        <v>3600</v>
      </c>
      <c r="Q48" s="108">
        <f>'Haustechnikvarianten gesamt'!Q46*$AD$7</f>
        <v>3600</v>
      </c>
      <c r="R48" s="108">
        <f>'Haustechnikvarianten gesamt'!R46*$AD$7</f>
        <v>3630</v>
      </c>
      <c r="S48" s="108">
        <f>'Haustechnikvarianten gesamt'!S46*$AD$7</f>
        <v>3630</v>
      </c>
      <c r="T48" s="108">
        <f>'Haustechnikvarianten gesamt'!T46</f>
        <v>0</v>
      </c>
      <c r="U48" s="108">
        <f>'Haustechnikvarianten gesamt'!U46</f>
        <v>0</v>
      </c>
      <c r="V48" s="108">
        <v>0</v>
      </c>
      <c r="W48" s="108">
        <f>'Haustechnikvarianten gesamt'!W46</f>
        <v>0</v>
      </c>
      <c r="X48" s="108">
        <f>'Haustechnikvarianten gesamt'!X46*$AD$7</f>
        <v>3540</v>
      </c>
      <c r="Y48" s="108">
        <f>'Haustechnikvarianten gesamt'!Y46*$AD$7</f>
        <v>3540</v>
      </c>
      <c r="Z48" s="108">
        <f>'Haustechnikvarianten gesamt'!Z46*$AD$7</f>
        <v>3570</v>
      </c>
      <c r="AA48" s="108">
        <f>'Haustechnikvarianten gesamt'!AA46*$AD$7</f>
        <v>3570</v>
      </c>
      <c r="AB48" s="108">
        <f>'Haustechnikvarianten gesamt'!AB46*$AD$7</f>
        <v>4060</v>
      </c>
      <c r="AC48" s="108">
        <f>'Haustechnikvarianten gesamt'!AC46*$AD$7</f>
        <v>4060</v>
      </c>
      <c r="AD48" s="113"/>
    </row>
    <row r="49" spans="1:31" x14ac:dyDescent="0.2">
      <c r="A49" s="74" t="s">
        <v>110</v>
      </c>
      <c r="B49" s="107">
        <f>'Haustechnikvarianten gesamt'!B47</f>
        <v>0</v>
      </c>
      <c r="C49" s="108">
        <f>'Haustechnikvarianten gesamt'!C47</f>
        <v>0</v>
      </c>
      <c r="D49" s="108">
        <f>'Haustechnikvarianten gesamt'!D47</f>
        <v>0</v>
      </c>
      <c r="E49" s="108">
        <v>0</v>
      </c>
      <c r="F49" s="108">
        <v>780</v>
      </c>
      <c r="G49" s="108">
        <v>730</v>
      </c>
      <c r="H49" s="108">
        <f>'Haustechnikvarianten gesamt'!H47</f>
        <v>0</v>
      </c>
      <c r="I49" s="108">
        <f>'Haustechnikvarianten gesamt'!I47</f>
        <v>0</v>
      </c>
      <c r="J49" s="108">
        <f>'Haustechnikvarianten gesamt'!J47</f>
        <v>0</v>
      </c>
      <c r="K49" s="108">
        <f>'Haustechnikvarianten gesamt'!K47</f>
        <v>0</v>
      </c>
      <c r="L49" s="108">
        <f>'Haustechnikvarianten gesamt'!L47</f>
        <v>0</v>
      </c>
      <c r="M49" s="108">
        <f>'Haustechnikvarianten gesamt'!M47</f>
        <v>0</v>
      </c>
      <c r="N49" s="108">
        <f>'Haustechnikvarianten gesamt'!N47*$AD$7</f>
        <v>750</v>
      </c>
      <c r="O49" s="108">
        <f>'Haustechnikvarianten gesamt'!O47*$AD$7</f>
        <v>1500</v>
      </c>
      <c r="P49" s="108">
        <f>'Haustechnikvarianten gesamt'!P47*$AD$7</f>
        <v>1080</v>
      </c>
      <c r="Q49" s="108">
        <f>'Haustechnikvarianten gesamt'!Q47*$AD$7</f>
        <v>2160</v>
      </c>
      <c r="R49" s="108">
        <f>'Haustechnikvarianten gesamt'!R47*$AD$7</f>
        <v>1090</v>
      </c>
      <c r="S49" s="108">
        <f>'Haustechnikvarianten gesamt'!S47*$AD$7</f>
        <v>2180</v>
      </c>
      <c r="T49" s="108">
        <f>'Haustechnikvarianten gesamt'!T47*$AD$7</f>
        <v>0</v>
      </c>
      <c r="U49" s="108">
        <f>'Haustechnikvarianten gesamt'!U47*$AD$7</f>
        <v>0</v>
      </c>
      <c r="V49" s="108">
        <v>0</v>
      </c>
      <c r="W49" s="108">
        <f>'Haustechnikvarianten gesamt'!W47*$AD$7</f>
        <v>0</v>
      </c>
      <c r="X49" s="108">
        <f>'Haustechnikvarianten gesamt'!X47*$AD$7</f>
        <v>1060</v>
      </c>
      <c r="Y49" s="108">
        <f>'Haustechnikvarianten gesamt'!Y47*$AD$7</f>
        <v>2120</v>
      </c>
      <c r="Z49" s="108">
        <f>'Haustechnikvarianten gesamt'!Z47*$AD$7</f>
        <v>1070</v>
      </c>
      <c r="AA49" s="108">
        <f>'Haustechnikvarianten gesamt'!AA47*$AD$7</f>
        <v>2140</v>
      </c>
      <c r="AB49" s="108">
        <f>'Haustechnikvarianten gesamt'!AB47*$AD$7</f>
        <v>1220</v>
      </c>
      <c r="AC49" s="108">
        <f>'Haustechnikvarianten gesamt'!AC47*$AD$7</f>
        <v>2440</v>
      </c>
      <c r="AD49" s="113"/>
    </row>
    <row r="50" spans="1:31" x14ac:dyDescent="0.2">
      <c r="A50" s="74" t="s">
        <v>111</v>
      </c>
      <c r="B50" s="175">
        <f>10*ROUND(((B48-B49)*0.12+B49*$B$12/100)/10,0)</f>
        <v>0</v>
      </c>
      <c r="C50" s="176">
        <f>10*ROUND(((C48-C49)*0.12+C49*$B$12/100)/10,0)</f>
        <v>0</v>
      </c>
      <c r="D50" s="176">
        <f>10*ROUND(((D48-D49)*0.12+D49*$B$12/100)/10,0)</f>
        <v>0</v>
      </c>
      <c r="E50" s="176">
        <f>10*ROUND(((E48-E49)*0.12+E49*$B$12/100)/10,0)</f>
        <v>0</v>
      </c>
      <c r="F50" s="176">
        <f>10*ROUND(((F48-F49)*0.2+F49*($B$12+8)/100)/10,0)</f>
        <v>440</v>
      </c>
      <c r="G50" s="176">
        <f>10*ROUND(((G48-G49)*0.04+G49*($B$12)/100)/10,0)</f>
        <v>320</v>
      </c>
      <c r="H50" s="176">
        <f t="shared" ref="H50:M50" si="7">10*ROUND(((H48-H49)*0.12+H49*$B$12/100)/10,0)</f>
        <v>0</v>
      </c>
      <c r="I50" s="176">
        <f t="shared" si="7"/>
        <v>0</v>
      </c>
      <c r="J50" s="176">
        <f t="shared" si="7"/>
        <v>0</v>
      </c>
      <c r="K50" s="176">
        <f t="shared" si="7"/>
        <v>0</v>
      </c>
      <c r="L50" s="176">
        <f t="shared" si="7"/>
        <v>0</v>
      </c>
      <c r="M50" s="176">
        <f t="shared" si="7"/>
        <v>0</v>
      </c>
      <c r="N50" s="176">
        <f>10*ROUND(((N48-N49)*$B$14/100+N49*$B$12/100)/10,0)</f>
        <v>440</v>
      </c>
      <c r="O50" s="176">
        <f t="shared" ref="O50:AC50" si="8">10*ROUND(((O48-O49)*$B$14/100+O49*$B$12/100)/10,0)</f>
        <v>680</v>
      </c>
      <c r="P50" s="176">
        <f t="shared" si="8"/>
        <v>640</v>
      </c>
      <c r="Q50" s="176">
        <f t="shared" si="8"/>
        <v>980</v>
      </c>
      <c r="R50" s="176">
        <f t="shared" si="8"/>
        <v>640</v>
      </c>
      <c r="S50" s="176">
        <f t="shared" si="8"/>
        <v>990</v>
      </c>
      <c r="T50" s="176">
        <f t="shared" si="8"/>
        <v>0</v>
      </c>
      <c r="U50" s="176">
        <f t="shared" si="8"/>
        <v>0</v>
      </c>
      <c r="V50" s="176">
        <f t="shared" si="8"/>
        <v>0</v>
      </c>
      <c r="W50" s="176">
        <f t="shared" si="8"/>
        <v>0</v>
      </c>
      <c r="X50" s="176">
        <f t="shared" si="8"/>
        <v>630</v>
      </c>
      <c r="Y50" s="176">
        <f t="shared" si="8"/>
        <v>960</v>
      </c>
      <c r="Z50" s="176">
        <f t="shared" si="8"/>
        <v>630</v>
      </c>
      <c r="AA50" s="176">
        <f t="shared" si="8"/>
        <v>970</v>
      </c>
      <c r="AB50" s="176">
        <f t="shared" si="8"/>
        <v>720</v>
      </c>
      <c r="AC50" s="176">
        <f t="shared" si="8"/>
        <v>1110</v>
      </c>
      <c r="AD50" s="113"/>
    </row>
    <row r="51" spans="1:31" x14ac:dyDescent="0.2">
      <c r="A51" s="1" t="s">
        <v>112</v>
      </c>
      <c r="B51" s="93">
        <v>200</v>
      </c>
      <c r="C51" s="92">
        <v>200</v>
      </c>
      <c r="D51" s="92">
        <v>400</v>
      </c>
      <c r="E51" s="92">
        <v>400</v>
      </c>
      <c r="F51" s="92">
        <v>400</v>
      </c>
      <c r="G51" s="92">
        <v>400</v>
      </c>
      <c r="H51" s="92">
        <v>0</v>
      </c>
      <c r="I51" s="92">
        <v>0</v>
      </c>
      <c r="J51" s="92">
        <v>0</v>
      </c>
      <c r="K51" s="92">
        <v>50</v>
      </c>
      <c r="L51" s="92">
        <v>50</v>
      </c>
      <c r="M51" s="92">
        <v>200</v>
      </c>
      <c r="N51" s="92">
        <v>150</v>
      </c>
      <c r="O51" s="92">
        <v>280</v>
      </c>
      <c r="P51" s="92">
        <v>150</v>
      </c>
      <c r="Q51" s="92">
        <v>280</v>
      </c>
      <c r="R51" s="92">
        <v>150</v>
      </c>
      <c r="S51" s="92">
        <v>280</v>
      </c>
      <c r="T51" s="92">
        <v>200</v>
      </c>
      <c r="U51" s="92">
        <v>200</v>
      </c>
      <c r="V51" s="92">
        <v>400</v>
      </c>
      <c r="W51" s="92">
        <v>100</v>
      </c>
      <c r="X51" s="92">
        <v>200</v>
      </c>
      <c r="Y51" s="92">
        <v>330</v>
      </c>
      <c r="Z51" s="92">
        <v>200</v>
      </c>
      <c r="AA51" s="92">
        <v>330</v>
      </c>
      <c r="AB51" s="92">
        <v>250</v>
      </c>
      <c r="AC51" s="92">
        <v>380</v>
      </c>
      <c r="AD51" s="113"/>
    </row>
    <row r="52" spans="1:31" x14ac:dyDescent="0.2">
      <c r="A52" s="144" t="s">
        <v>113</v>
      </c>
      <c r="B52" s="145">
        <f>B47+B51-B50</f>
        <v>960</v>
      </c>
      <c r="C52" s="146">
        <f>C47+C51-C50</f>
        <v>640</v>
      </c>
      <c r="D52" s="146">
        <f t="shared" ref="D52:AC52" si="9">D47+D51-D50</f>
        <v>1140</v>
      </c>
      <c r="E52" s="146">
        <f t="shared" si="9"/>
        <v>1170</v>
      </c>
      <c r="F52" s="146">
        <f t="shared" si="9"/>
        <v>480</v>
      </c>
      <c r="G52" s="146">
        <f t="shared" si="9"/>
        <v>650</v>
      </c>
      <c r="H52" s="146">
        <f t="shared" si="9"/>
        <v>530</v>
      </c>
      <c r="I52" s="146">
        <f t="shared" si="9"/>
        <v>530</v>
      </c>
      <c r="J52" s="146">
        <f t="shared" si="9"/>
        <v>800</v>
      </c>
      <c r="K52" s="146">
        <f t="shared" si="9"/>
        <v>610</v>
      </c>
      <c r="L52" s="146">
        <f t="shared" si="9"/>
        <v>630</v>
      </c>
      <c r="M52" s="146">
        <f t="shared" si="9"/>
        <v>640</v>
      </c>
      <c r="N52" s="146">
        <f t="shared" si="9"/>
        <v>330</v>
      </c>
      <c r="O52" s="146">
        <f t="shared" si="9"/>
        <v>220</v>
      </c>
      <c r="P52" s="146">
        <f>P47+P51-P50</f>
        <v>220</v>
      </c>
      <c r="Q52" s="146">
        <f>Q47+Q51-Q50</f>
        <v>10</v>
      </c>
      <c r="R52" s="146">
        <f>R47+R51-R50</f>
        <v>-110</v>
      </c>
      <c r="S52" s="146">
        <f>S47+S51-S50</f>
        <v>-330</v>
      </c>
      <c r="T52" s="146">
        <f t="shared" si="9"/>
        <v>600</v>
      </c>
      <c r="U52" s="146">
        <f t="shared" si="9"/>
        <v>720</v>
      </c>
      <c r="V52" s="146">
        <f t="shared" si="9"/>
        <v>890</v>
      </c>
      <c r="W52" s="146">
        <f t="shared" si="9"/>
        <v>580</v>
      </c>
      <c r="X52" s="146">
        <f t="shared" si="9"/>
        <v>40</v>
      </c>
      <c r="Y52" s="146">
        <f t="shared" si="9"/>
        <v>-160</v>
      </c>
      <c r="Z52" s="146">
        <f t="shared" si="9"/>
        <v>-10</v>
      </c>
      <c r="AA52" s="146">
        <f t="shared" si="9"/>
        <v>-220</v>
      </c>
      <c r="AB52" s="146">
        <f t="shared" si="9"/>
        <v>-230</v>
      </c>
      <c r="AC52" s="147">
        <f t="shared" si="9"/>
        <v>-490</v>
      </c>
      <c r="AD52" s="113"/>
    </row>
    <row r="53" spans="1:31" x14ac:dyDescent="0.2">
      <c r="A53" s="1" t="s">
        <v>2</v>
      </c>
      <c r="B53" s="95">
        <v>0</v>
      </c>
      <c r="C53" s="50">
        <f>-C43-20*(C52-$B$52)</f>
        <v>-3600</v>
      </c>
      <c r="D53" s="50">
        <f>-D43-20*(D52-$B$52)</f>
        <v>-600</v>
      </c>
      <c r="E53" s="50">
        <f>-E43-20*(E52-$B$52)</f>
        <v>-14200</v>
      </c>
      <c r="F53" s="50">
        <f>IF((30000/F48&gt;20),-F43-20*(F52-$B$52),-F43-20*(F52-$B$52)-ROUND((20-30000/F48),0)*10*ROUND((0.16*(F48-F49)+0.08*F49)/10,0))</f>
        <v>-12400</v>
      </c>
      <c r="G53" s="50">
        <f t="shared" ref="G53:AC53" si="10">-G43-20*(G52-$B$52)</f>
        <v>-22800</v>
      </c>
      <c r="H53" s="50">
        <f t="shared" si="10"/>
        <v>4100</v>
      </c>
      <c r="I53" s="50">
        <f t="shared" si="10"/>
        <v>4100</v>
      </c>
      <c r="J53" s="50">
        <f t="shared" si="10"/>
        <v>12700</v>
      </c>
      <c r="K53" s="50">
        <f t="shared" si="10"/>
        <v>-3500</v>
      </c>
      <c r="L53" s="50">
        <f t="shared" si="10"/>
        <v>-4800</v>
      </c>
      <c r="M53" s="50">
        <f t="shared" si="10"/>
        <v>-3600</v>
      </c>
      <c r="N53" s="50">
        <f t="shared" si="10"/>
        <v>12600</v>
      </c>
      <c r="O53" s="50">
        <f t="shared" si="10"/>
        <v>9800</v>
      </c>
      <c r="P53" s="50">
        <f t="shared" si="10"/>
        <v>10300</v>
      </c>
      <c r="Q53" s="50">
        <f t="shared" si="10"/>
        <v>9500</v>
      </c>
      <c r="R53" s="50">
        <f t="shared" si="10"/>
        <v>16400</v>
      </c>
      <c r="S53" s="50">
        <f t="shared" si="10"/>
        <v>15800</v>
      </c>
      <c r="T53" s="50">
        <f t="shared" si="10"/>
        <v>-2800</v>
      </c>
      <c r="U53" s="50">
        <f t="shared" si="10"/>
        <v>-12200</v>
      </c>
      <c r="V53" s="50">
        <f t="shared" si="10"/>
        <v>-23600</v>
      </c>
      <c r="W53" s="50">
        <f t="shared" si="10"/>
        <v>-16800</v>
      </c>
      <c r="X53" s="50">
        <f t="shared" si="10"/>
        <v>2900</v>
      </c>
      <c r="Y53" s="50">
        <f t="shared" si="10"/>
        <v>1900</v>
      </c>
      <c r="Z53" s="50">
        <f t="shared" si="10"/>
        <v>-2000</v>
      </c>
      <c r="AA53" s="50">
        <f t="shared" si="10"/>
        <v>-2800</v>
      </c>
      <c r="AB53" s="50">
        <f t="shared" si="10"/>
        <v>-10600</v>
      </c>
      <c r="AC53" s="50">
        <f t="shared" si="10"/>
        <v>-10400</v>
      </c>
      <c r="AD53" s="113"/>
    </row>
    <row r="54" spans="1:31" x14ac:dyDescent="0.2">
      <c r="A54" s="139" t="s">
        <v>72</v>
      </c>
      <c r="B54" s="143"/>
      <c r="C54" s="179">
        <f>IF((($B$52-C52)=0),IF((C43&lt;=0),"sofort","nie"),IF((C43/($B$52-C52)&lt;=0),IF((C43&lt;=0),"sofort","nie"),C43/($B$52-C52)))</f>
        <v>31.25</v>
      </c>
      <c r="D54" s="179">
        <f t="shared" ref="D54:AC54" si="11">IF((($B$52-D52)=0),IF((D43&lt;=0),"sofort","nie"),IF((D43/($B$52-D52)&lt;=0),IF((D43&lt;=0),"sofort","nie"),D43/($B$52-D52)))</f>
        <v>16.666666666666668</v>
      </c>
      <c r="E54" s="179" t="str">
        <f t="shared" si="11"/>
        <v>nie</v>
      </c>
      <c r="F54" s="179">
        <f t="shared" si="11"/>
        <v>45.833333333333336</v>
      </c>
      <c r="G54" s="179">
        <f t="shared" si="11"/>
        <v>93.548387096774192</v>
      </c>
      <c r="H54" s="179">
        <f t="shared" si="11"/>
        <v>10.465116279069768</v>
      </c>
      <c r="I54" s="179">
        <f t="shared" si="11"/>
        <v>10.465116279069768</v>
      </c>
      <c r="J54" s="179" t="str">
        <f t="shared" si="11"/>
        <v>sofort</v>
      </c>
      <c r="K54" s="179">
        <f t="shared" si="11"/>
        <v>30</v>
      </c>
      <c r="L54" s="179">
        <f t="shared" si="11"/>
        <v>34.545454545454547</v>
      </c>
      <c r="M54" s="179">
        <f t="shared" si="11"/>
        <v>31.25</v>
      </c>
      <c r="N54" s="179" t="str">
        <f t="shared" si="11"/>
        <v>sofort</v>
      </c>
      <c r="O54" s="179">
        <f t="shared" si="11"/>
        <v>6.756756756756757</v>
      </c>
      <c r="P54" s="179">
        <f t="shared" si="11"/>
        <v>6.0810810810810807</v>
      </c>
      <c r="Q54" s="179">
        <f t="shared" si="11"/>
        <v>10</v>
      </c>
      <c r="R54" s="179">
        <f t="shared" si="11"/>
        <v>4.6728971962616823</v>
      </c>
      <c r="S54" s="179">
        <f t="shared" si="11"/>
        <v>7.7519379844961236</v>
      </c>
      <c r="T54" s="179">
        <f t="shared" si="11"/>
        <v>27.777777777777779</v>
      </c>
      <c r="U54" s="179">
        <f t="shared" si="11"/>
        <v>70.833333333333329</v>
      </c>
      <c r="V54" s="179">
        <f t="shared" si="11"/>
        <v>357.14285714285717</v>
      </c>
      <c r="W54" s="179">
        <f t="shared" si="11"/>
        <v>64.21052631578948</v>
      </c>
      <c r="X54" s="179">
        <f t="shared" si="11"/>
        <v>16.847826086956523</v>
      </c>
      <c r="Y54" s="179">
        <f t="shared" si="11"/>
        <v>18.303571428571427</v>
      </c>
      <c r="Z54" s="179">
        <f t="shared" si="11"/>
        <v>22.061855670103093</v>
      </c>
      <c r="AA54" s="179">
        <f t="shared" si="11"/>
        <v>22.372881355932204</v>
      </c>
      <c r="AB54" s="179">
        <f t="shared" si="11"/>
        <v>28.907563025210084</v>
      </c>
      <c r="AC54" s="179">
        <f t="shared" si="11"/>
        <v>27.172413793103448</v>
      </c>
      <c r="AD54" s="113"/>
    </row>
    <row r="55" spans="1:31" x14ac:dyDescent="0.2">
      <c r="A55" s="1" t="s">
        <v>73</v>
      </c>
      <c r="B55" s="96">
        <f>ROUND((B44*$I$8+B45*$I$13)/1000,1)</f>
        <v>1.4</v>
      </c>
      <c r="C55" s="51">
        <f>ROUND((C44*$I$8+C45*$I$13)/1000,1)</f>
        <v>0.7</v>
      </c>
      <c r="D55" s="51">
        <f>ROUND((D44*$I$9+D45*$I$13)/1000,1)</f>
        <v>0.4</v>
      </c>
      <c r="E55" s="51">
        <f>ROUND((E44*$I$10+E45*$I$13)/1000,1)</f>
        <v>0.7</v>
      </c>
      <c r="F55" s="51">
        <f>ROUND((F44*$I$8+(F45-F48)*$I$13)/1000,1)</f>
        <v>0.4</v>
      </c>
      <c r="G55" s="51">
        <f>ROUND((G44*$I$8+(G45-G48)*$I$13)/1000,1)</f>
        <v>0.3</v>
      </c>
      <c r="H55" s="51">
        <f>ROUND((H44*$I$11+H45*$I$13)/1000,1)</f>
        <v>0.9</v>
      </c>
      <c r="I55" s="51">
        <f>ROUND((I44*$I$12+I45*$I$13)/1000,1)</f>
        <v>0.5</v>
      </c>
      <c r="J55" s="51">
        <f>ROUND((J44*$I$12+J45*$I$13)/1000,1)</f>
        <v>0.6</v>
      </c>
      <c r="K55" s="51">
        <f>ROUND((K44*$I$13+K45*$I$13)/1000,1)</f>
        <v>0.9</v>
      </c>
      <c r="L55" s="51">
        <f>ROUND((L44*$I$13+L45*$I$13)/1000,1)</f>
        <v>1</v>
      </c>
      <c r="M55" s="51">
        <f>ROUND((M44*$I$8+M45*$I$13)/1000,1)</f>
        <v>0.7</v>
      </c>
      <c r="N55" s="51">
        <f t="shared" ref="N55:S55" si="12">ROUND((N44*$I$8+(N45-N48)*$I$13)/1000,1)</f>
        <v>-0.5</v>
      </c>
      <c r="O55" s="51">
        <f t="shared" si="12"/>
        <v>-0.5</v>
      </c>
      <c r="P55" s="51">
        <f t="shared" si="12"/>
        <v>-1</v>
      </c>
      <c r="Q55" s="51">
        <f t="shared" si="12"/>
        <v>-1</v>
      </c>
      <c r="R55" s="51">
        <f t="shared" si="12"/>
        <v>-1.5</v>
      </c>
      <c r="S55" s="51">
        <f t="shared" si="12"/>
        <v>-1.5</v>
      </c>
      <c r="T55" s="51">
        <f>ROUND((T44*$I$9+T45*$I$13)/1000,1)</f>
        <v>0.3</v>
      </c>
      <c r="U55" s="51">
        <f>ROUND((U44*$I$8+(U45-U48)*$I$13)/1000,1)</f>
        <v>0.9</v>
      </c>
      <c r="V55" s="51">
        <f>ROUND((V44*$I$10+(V45-V48)*$I$13)/1000,1)</f>
        <v>0.8</v>
      </c>
      <c r="W55" s="51">
        <f t="shared" ref="W55:AC55" si="13">ROUND((W44*$I$13+(W45-W48)*$I$13)/1000,1)</f>
        <v>0.8</v>
      </c>
      <c r="X55" s="51">
        <f t="shared" si="13"/>
        <v>-1.3</v>
      </c>
      <c r="Y55" s="51">
        <f t="shared" si="13"/>
        <v>-1.3</v>
      </c>
      <c r="Z55" s="51">
        <f t="shared" si="13"/>
        <v>-1.4</v>
      </c>
      <c r="AA55" s="51">
        <f t="shared" si="13"/>
        <v>-1.4</v>
      </c>
      <c r="AB55" s="51">
        <f t="shared" si="13"/>
        <v>-1.9</v>
      </c>
      <c r="AC55" s="51">
        <f t="shared" si="13"/>
        <v>-1.9</v>
      </c>
      <c r="AD55" s="113"/>
    </row>
    <row r="56" spans="1:31" x14ac:dyDescent="0.2">
      <c r="A56" s="139" t="s">
        <v>3</v>
      </c>
      <c r="B56" s="140">
        <f>IF(($B$15-B46)/$B$15&lt;0,0,($B$15-B46)/$B$15)</f>
        <v>0.44673913043478258</v>
      </c>
      <c r="C56" s="140">
        <f t="shared" ref="C56:AC56" si="14">IF(($B$15-C46)/$B$15&lt;0,0,($B$15-C46)/$B$15)</f>
        <v>0.76847826086956517</v>
      </c>
      <c r="D56" s="140">
        <f t="shared" si="14"/>
        <v>0</v>
      </c>
      <c r="E56" s="140">
        <f t="shared" si="14"/>
        <v>0</v>
      </c>
      <c r="F56" s="140">
        <f t="shared" si="14"/>
        <v>0.52608695652173909</v>
      </c>
      <c r="G56" s="140">
        <f t="shared" si="14"/>
        <v>0.48369565217391303</v>
      </c>
      <c r="H56" s="140">
        <f t="shared" si="14"/>
        <v>0.59891304347826091</v>
      </c>
      <c r="I56" s="140">
        <f t="shared" si="14"/>
        <v>0.59891304347826091</v>
      </c>
      <c r="J56" s="140">
        <f t="shared" si="14"/>
        <v>0.21956521739130436</v>
      </c>
      <c r="K56" s="140">
        <f t="shared" si="14"/>
        <v>0.82499999999999996</v>
      </c>
      <c r="L56" s="140">
        <f t="shared" si="14"/>
        <v>0.81304347826086953</v>
      </c>
      <c r="M56" s="140">
        <f t="shared" si="14"/>
        <v>0.76847826086956517</v>
      </c>
      <c r="N56" s="140">
        <f t="shared" si="14"/>
        <v>0.83260869565217388</v>
      </c>
      <c r="O56" s="140">
        <f t="shared" si="14"/>
        <v>0.83260869565217388</v>
      </c>
      <c r="P56" s="140">
        <f t="shared" si="14"/>
        <v>0.80760869565217386</v>
      </c>
      <c r="Q56" s="140">
        <f t="shared" si="14"/>
        <v>0.80760869565217386</v>
      </c>
      <c r="R56" s="140">
        <f t="shared" si="14"/>
        <v>0.89673913043478259</v>
      </c>
      <c r="S56" s="140">
        <f t="shared" si="14"/>
        <v>0.89673913043478259</v>
      </c>
      <c r="T56" s="140">
        <f t="shared" si="14"/>
        <v>0.47717391304347828</v>
      </c>
      <c r="U56" s="140">
        <f t="shared" si="14"/>
        <v>0.78913043478260869</v>
      </c>
      <c r="V56" s="140">
        <f t="shared" si="14"/>
        <v>0.78369565217391302</v>
      </c>
      <c r="W56" s="140">
        <f t="shared" si="14"/>
        <v>0.85434782608695647</v>
      </c>
      <c r="X56" s="140">
        <f t="shared" si="14"/>
        <v>0.87282608695652175</v>
      </c>
      <c r="Y56" s="140">
        <f t="shared" si="14"/>
        <v>0.87282608695652175</v>
      </c>
      <c r="Z56" s="140">
        <f t="shared" si="14"/>
        <v>0.88695652173913042</v>
      </c>
      <c r="AA56" s="140">
        <f t="shared" si="14"/>
        <v>0.88695652173913042</v>
      </c>
      <c r="AB56" s="140">
        <f t="shared" si="14"/>
        <v>0.93369565217391304</v>
      </c>
      <c r="AC56" s="140">
        <f t="shared" si="14"/>
        <v>0.93369565217391304</v>
      </c>
      <c r="AD56" s="113"/>
    </row>
    <row r="57" spans="1:31" x14ac:dyDescent="0.2">
      <c r="A57" s="139" t="s">
        <v>6</v>
      </c>
      <c r="B57" s="140">
        <f t="shared" ref="B57:AC57" si="15">B49/$B$16</f>
        <v>0</v>
      </c>
      <c r="C57" s="141">
        <f t="shared" si="15"/>
        <v>0</v>
      </c>
      <c r="D57" s="141">
        <f t="shared" si="15"/>
        <v>0</v>
      </c>
      <c r="E57" s="141">
        <f t="shared" si="15"/>
        <v>0</v>
      </c>
      <c r="F57" s="141">
        <f t="shared" si="15"/>
        <v>0.19500000000000001</v>
      </c>
      <c r="G57" s="141">
        <f t="shared" si="15"/>
        <v>0.1825</v>
      </c>
      <c r="H57" s="141">
        <f t="shared" si="15"/>
        <v>0</v>
      </c>
      <c r="I57" s="141">
        <f t="shared" si="15"/>
        <v>0</v>
      </c>
      <c r="J57" s="141">
        <f t="shared" si="15"/>
        <v>0</v>
      </c>
      <c r="K57" s="141">
        <f t="shared" si="15"/>
        <v>0</v>
      </c>
      <c r="L57" s="141">
        <f t="shared" si="15"/>
        <v>0</v>
      </c>
      <c r="M57" s="141">
        <f t="shared" si="15"/>
        <v>0</v>
      </c>
      <c r="N57" s="141">
        <f t="shared" si="15"/>
        <v>0.1875</v>
      </c>
      <c r="O57" s="141">
        <f t="shared" si="15"/>
        <v>0.375</v>
      </c>
      <c r="P57" s="141">
        <f t="shared" si="15"/>
        <v>0.27</v>
      </c>
      <c r="Q57" s="141">
        <f t="shared" si="15"/>
        <v>0.54</v>
      </c>
      <c r="R57" s="141">
        <f t="shared" si="15"/>
        <v>0.27250000000000002</v>
      </c>
      <c r="S57" s="141">
        <f t="shared" si="15"/>
        <v>0.54500000000000004</v>
      </c>
      <c r="T57" s="141">
        <f t="shared" si="15"/>
        <v>0</v>
      </c>
      <c r="U57" s="141">
        <f t="shared" si="15"/>
        <v>0</v>
      </c>
      <c r="V57" s="141">
        <f t="shared" si="15"/>
        <v>0</v>
      </c>
      <c r="W57" s="141">
        <f t="shared" si="15"/>
        <v>0</v>
      </c>
      <c r="X57" s="141">
        <f t="shared" si="15"/>
        <v>0.26500000000000001</v>
      </c>
      <c r="Y57" s="141">
        <f t="shared" si="15"/>
        <v>0.53</v>
      </c>
      <c r="Z57" s="141">
        <f t="shared" si="15"/>
        <v>0.26750000000000002</v>
      </c>
      <c r="AA57" s="141">
        <f t="shared" si="15"/>
        <v>0.53500000000000003</v>
      </c>
      <c r="AB57" s="141">
        <f t="shared" si="15"/>
        <v>0.30499999999999999</v>
      </c>
      <c r="AC57" s="142">
        <f t="shared" si="15"/>
        <v>0.61</v>
      </c>
      <c r="AD57" s="113"/>
    </row>
    <row r="58" spans="1:31" x14ac:dyDescent="0.2">
      <c r="A58" s="113"/>
      <c r="B58" s="113"/>
      <c r="C58" s="113"/>
      <c r="D58" s="117"/>
      <c r="E58" s="117"/>
      <c r="F58" s="113"/>
      <c r="G58" s="113"/>
      <c r="H58" s="113"/>
      <c r="I58" s="116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</row>
    <row r="59" spans="1:31" x14ac:dyDescent="0.2">
      <c r="A59" s="113"/>
      <c r="B59" s="167"/>
      <c r="C59" s="158" t="s">
        <v>122</v>
      </c>
      <c r="D59" s="159"/>
      <c r="E59" s="159"/>
      <c r="F59" s="168"/>
      <c r="G59" s="169" t="s">
        <v>123</v>
      </c>
      <c r="H59" s="159"/>
      <c r="I59" s="160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</row>
    <row r="60" spans="1:31" x14ac:dyDescent="0.2">
      <c r="A60" s="113"/>
      <c r="B60" s="178"/>
      <c r="C60" s="72" t="s">
        <v>117</v>
      </c>
      <c r="F60" s="109"/>
      <c r="G60" t="s">
        <v>114</v>
      </c>
      <c r="I60" s="162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</row>
    <row r="61" spans="1:31" x14ac:dyDescent="0.2">
      <c r="A61" s="113"/>
      <c r="B61" s="170"/>
      <c r="C61" s="72" t="s">
        <v>118</v>
      </c>
      <c r="F61" s="110"/>
      <c r="G61" t="s">
        <v>115</v>
      </c>
      <c r="I61" s="162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</row>
    <row r="62" spans="1:31" x14ac:dyDescent="0.2">
      <c r="A62" s="113"/>
      <c r="B62" s="171"/>
      <c r="C62" s="165" t="s">
        <v>116</v>
      </c>
      <c r="D62" s="165"/>
      <c r="E62" s="165"/>
      <c r="F62" s="165"/>
      <c r="G62" s="165"/>
      <c r="H62" s="165"/>
      <c r="I62" s="166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</row>
    <row r="63" spans="1:31" x14ac:dyDescent="0.2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</row>
    <row r="64" spans="1:31" x14ac:dyDescent="0.2">
      <c r="A64" s="113"/>
      <c r="B64" s="157"/>
      <c r="C64" s="158" t="s">
        <v>124</v>
      </c>
      <c r="D64" s="159"/>
      <c r="E64" s="159"/>
      <c r="F64" s="160"/>
      <c r="G64" s="113"/>
      <c r="H64" s="123" t="s">
        <v>127</v>
      </c>
      <c r="I64" s="223"/>
      <c r="J64" s="223"/>
      <c r="K64" s="223"/>
      <c r="L64" s="223"/>
      <c r="M64" s="223"/>
      <c r="N64" s="224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</row>
    <row r="65" spans="1:31" x14ac:dyDescent="0.2">
      <c r="A65" s="113"/>
      <c r="B65" s="161" t="s">
        <v>120</v>
      </c>
      <c r="C65" s="72" t="s">
        <v>125</v>
      </c>
      <c r="F65" s="162"/>
      <c r="G65" s="113"/>
      <c r="H65" s="230" t="s">
        <v>137</v>
      </c>
      <c r="I65" s="113"/>
      <c r="J65" s="113"/>
      <c r="K65" s="113"/>
      <c r="L65" s="113"/>
      <c r="M65" s="113"/>
      <c r="N65" s="225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</row>
    <row r="66" spans="1:31" x14ac:dyDescent="0.2">
      <c r="A66" s="113"/>
      <c r="B66" s="163" t="s">
        <v>121</v>
      </c>
      <c r="C66" s="164" t="s">
        <v>126</v>
      </c>
      <c r="D66" s="165"/>
      <c r="E66" s="165"/>
      <c r="F66" s="166"/>
      <c r="G66" s="113"/>
      <c r="H66" s="226" t="s">
        <v>136</v>
      </c>
      <c r="I66" s="227"/>
      <c r="J66" s="227"/>
      <c r="K66" s="227"/>
      <c r="L66" s="227"/>
      <c r="M66" s="227"/>
      <c r="N66" s="228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</row>
    <row r="67" spans="1:31" x14ac:dyDescent="0.2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</row>
    <row r="68" spans="1:31" x14ac:dyDescent="0.2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</row>
    <row r="69" spans="1:31" x14ac:dyDescent="0.2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</row>
    <row r="83" spans="4:4" x14ac:dyDescent="0.2">
      <c r="D83" s="72"/>
    </row>
  </sheetData>
  <sheetProtection algorithmName="SHA-512" hashValue="uD4Od0bQ3gWz9oM/jILetiZGDCnkZNdTDcRU+3g01YQCNd8oUVBexARHzjyXMbpqAf5cj7tavbrAiKLIg4BH2w==" saltValue="BF4FFIazRbjWgl/ccmIHHw==" spinCount="100000" sheet="1" objects="1" scenarios="1" selectLockedCells="1"/>
  <conditionalFormatting sqref="B6">
    <cfRule type="cellIs" dxfId="28" priority="48" stopIfTrue="1" operator="notBetween">
      <formula>60</formula>
      <formula>140</formula>
    </cfRule>
  </conditionalFormatting>
  <conditionalFormatting sqref="B7">
    <cfRule type="cellIs" dxfId="27" priority="47" stopIfTrue="1" operator="notBetween">
      <formula>600</formula>
      <formula>1200</formula>
    </cfRule>
  </conditionalFormatting>
  <conditionalFormatting sqref="B9">
    <cfRule type="cellIs" dxfId="26" priority="46" stopIfTrue="1" operator="notBetween">
      <formula>10</formula>
      <formula>1000</formula>
    </cfRule>
  </conditionalFormatting>
  <conditionalFormatting sqref="B12">
    <cfRule type="cellIs" dxfId="25" priority="45" stopIfTrue="1" operator="notBetween">
      <formula>20</formula>
      <formula>200</formula>
    </cfRule>
  </conditionalFormatting>
  <conditionalFormatting sqref="B13:B14">
    <cfRule type="cellIs" dxfId="24" priority="44" stopIfTrue="1" operator="notBetween">
      <formula>4</formula>
      <formula>200</formula>
    </cfRule>
  </conditionalFormatting>
  <conditionalFormatting sqref="B16">
    <cfRule type="cellIs" dxfId="23" priority="43" stopIfTrue="1" operator="notBetween">
      <formula>1000</formula>
      <formula>10000</formula>
    </cfRule>
  </conditionalFormatting>
  <conditionalFormatting sqref="B10">
    <cfRule type="cellIs" dxfId="22" priority="42" stopIfTrue="1" operator="notBetween">
      <formula>150</formula>
      <formula>1000</formula>
    </cfRule>
  </conditionalFormatting>
  <conditionalFormatting sqref="B11">
    <cfRule type="cellIs" dxfId="21" priority="41" stopIfTrue="1" operator="notBetween">
      <formula>5</formula>
      <formula>100</formula>
    </cfRule>
  </conditionalFormatting>
  <conditionalFormatting sqref="F12:F14">
    <cfRule type="cellIs" dxfId="20" priority="40" stopIfTrue="1" operator="notBetween">
      <formula>4</formula>
      <formula>50</formula>
    </cfRule>
  </conditionalFormatting>
  <conditionalFormatting sqref="F11">
    <cfRule type="cellIs" dxfId="19" priority="39" stopIfTrue="1" operator="notBetween">
      <formula>5</formula>
      <formula>15</formula>
    </cfRule>
  </conditionalFormatting>
  <conditionalFormatting sqref="F7">
    <cfRule type="cellIs" dxfId="18" priority="38" stopIfTrue="1" operator="notBetween">
      <formula>600</formula>
      <formula>1200</formula>
    </cfRule>
  </conditionalFormatting>
  <conditionalFormatting sqref="F16">
    <cfRule type="cellIs" dxfId="17" priority="37" stopIfTrue="1" operator="notBetween">
      <formula>1000</formula>
      <formula>6000</formula>
    </cfRule>
  </conditionalFormatting>
  <conditionalFormatting sqref="B53:AC53">
    <cfRule type="cellIs" dxfId="16" priority="33" stopIfTrue="1" operator="greaterThanOrEqual">
      <formula>10000</formula>
    </cfRule>
  </conditionalFormatting>
  <conditionalFormatting sqref="B56:AC56">
    <cfRule type="cellIs" dxfId="15" priority="23" stopIfTrue="1" operator="greaterThanOrEqual">
      <formula>0.5</formula>
    </cfRule>
  </conditionalFormatting>
  <conditionalFormatting sqref="B57:AC57">
    <cfRule type="cellIs" dxfId="14" priority="22" stopIfTrue="1" operator="greaterThanOrEqual">
      <formula>0.5</formula>
    </cfRule>
  </conditionalFormatting>
  <conditionalFormatting sqref="B54">
    <cfRule type="expression" dxfId="13" priority="14">
      <formula>IF(B$43&gt;0,AND(B$54&lt;=10,B$54&gt;0),OR(B$54&gt;30,B$54&lt;0))</formula>
    </cfRule>
    <cfRule type="expression" dxfId="12" priority="15" stopIfTrue="1">
      <formula>B$43&lt;0</formula>
    </cfRule>
  </conditionalFormatting>
  <conditionalFormatting sqref="B43:AC43">
    <cfRule type="cellIs" dxfId="11" priority="11" operator="lessThan">
      <formula>0</formula>
    </cfRule>
    <cfRule type="cellIs" dxfId="10" priority="12" stopIfTrue="1" operator="lessThanOrEqual">
      <formula>1000</formula>
    </cfRule>
  </conditionalFormatting>
  <conditionalFormatting sqref="B52:AC52">
    <cfRule type="cellIs" dxfId="9" priority="127" stopIfTrue="1" operator="greaterThan">
      <formula>$B$52</formula>
    </cfRule>
    <cfRule type="cellIs" dxfId="8" priority="128" stopIfTrue="1" operator="lessThanOrEqual">
      <formula>200</formula>
    </cfRule>
  </conditionalFormatting>
  <conditionalFormatting sqref="B55:AC55">
    <cfRule type="cellIs" dxfId="7" priority="137" stopIfTrue="1" operator="greaterThan">
      <formula>$B$55</formula>
    </cfRule>
    <cfRule type="cellIs" dxfId="6" priority="138" stopIfTrue="1" operator="lessThanOrEqual">
      <formula>0.5</formula>
    </cfRule>
  </conditionalFormatting>
  <conditionalFormatting sqref="C54:AC54">
    <cfRule type="expression" dxfId="5" priority="151">
      <formula>OR(IF(C$43&gt;0,C$54&lt;=10,C$54&gt;30),C$54&lt;0)</formula>
    </cfRule>
    <cfRule type="expression" dxfId="4" priority="152" stopIfTrue="1">
      <formula>C$43&lt;0</formula>
    </cfRule>
  </conditionalFormatting>
  <conditionalFormatting sqref="B64">
    <cfRule type="cellIs" dxfId="3" priority="4" stopIfTrue="1" operator="notBetween">
      <formula>60</formula>
      <formula>140</formula>
    </cfRule>
  </conditionalFormatting>
  <conditionalFormatting sqref="B60">
    <cfRule type="cellIs" dxfId="2" priority="2" stopIfTrue="1" operator="greaterThan">
      <formula>$B$52</formula>
    </cfRule>
    <cfRule type="cellIs" dxfId="1" priority="3" stopIfTrue="1" operator="lessThanOrEqual">
      <formula>200</formula>
    </cfRule>
  </conditionalFormatting>
  <conditionalFormatting sqref="B8">
    <cfRule type="cellIs" dxfId="0" priority="1" operator="notBetween">
      <formula>3</formula>
      <formula>100</formula>
    </cfRule>
  </conditionalFormatting>
  <pageMargins left="0.39370078740157483" right="0.39370078740157483" top="0.98425196850393704" bottom="0.98425196850393704" header="0.51181102362204722" footer="0.51181102362204722"/>
  <pageSetup paperSize="9" scale="51" fitToWidth="2" orientation="landscape" horizontalDpi="0" verticalDpi="0" r:id="rId1"/>
  <headerFooter alignWithMargins="0"/>
  <ignoredErrors>
    <ignoredError sqref="AB37 Z37 W37:X37 T37 R37 P37 N37 L37 H37:J37 C37:E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Haustechnikvarianten gesamt</vt:lpstr>
      <vt:lpstr>Haustechnikvarianten berechnen</vt:lpstr>
      <vt:lpstr>'Haustechnikvarianten gesamt'!Druckbereich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family</cp:lastModifiedBy>
  <cp:lastPrinted>2023-01-24T15:35:44Z</cp:lastPrinted>
  <dcterms:created xsi:type="dcterms:W3CDTF">2017-07-13T22:33:43Z</dcterms:created>
  <dcterms:modified xsi:type="dcterms:W3CDTF">2023-03-18T22:58:53Z</dcterms:modified>
</cp:coreProperties>
</file>