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72A78C95-3439-4B4F-84FD-27FB62C0B6CB}" xr6:coauthVersionLast="47" xr6:coauthVersionMax="47" xr10:uidLastSave="{00000000-0000-0000-0000-000000000000}"/>
  <workbookProtection workbookAlgorithmName="SHA-512" workbookHashValue="dXDUGoWawiQ0IZWNWPP/RMc1d57yZ+O+ORccWsFFtwHlaZRy3ww3g6ytJBLOPLU0KPMrBSa4uVBz0++zRxLOqQ==" workbookSaltValue="/Gi3MMLcWbxBCac34KJCVw==" workbookSpinCount="100000" lockStructure="1"/>
  <bookViews>
    <workbookView xWindow="-120" yWindow="-120" windowWidth="19440" windowHeight="15000" tabRatio="599" xr2:uid="{00000000-000D-0000-FFFF-FFFF00000000}"/>
  </bookViews>
  <sheets>
    <sheet name="Haustechnikvarianten gesamt" sheetId="1" r:id="rId1"/>
    <sheet name="Haustechnikvarianten berechnen" sheetId="4" r:id="rId2"/>
    <sheet name="Berechnung" sheetId="5" state="hidden" r:id="rId3"/>
    <sheet name="Tabelle2" sheetId="2" r:id="rId4"/>
    <sheet name="Tabelle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4" l="1"/>
  <c r="D21" i="4"/>
  <c r="D20" i="4"/>
  <c r="C64" i="1" l="1"/>
  <c r="D64" i="1"/>
  <c r="E64" i="1"/>
  <c r="F64" i="1"/>
  <c r="G64" i="1"/>
  <c r="H64" i="1"/>
  <c r="I64" i="1"/>
  <c r="J64" i="1"/>
  <c r="K64" i="1"/>
  <c r="L64" i="1"/>
  <c r="M64" i="1"/>
  <c r="D23" i="4"/>
  <c r="H56" i="1"/>
  <c r="H38" i="1"/>
  <c r="I38" i="1"/>
  <c r="G38" i="1"/>
  <c r="G43" i="1" s="1"/>
  <c r="G44" i="1" s="1"/>
  <c r="B61" i="1"/>
  <c r="E54" i="4" l="1"/>
  <c r="D25" i="4"/>
  <c r="D54" i="4"/>
  <c r="C54" i="4"/>
  <c r="B51" i="1"/>
  <c r="D14" i="4"/>
  <c r="B50" i="1"/>
  <c r="B64" i="1" s="1"/>
  <c r="G45" i="1"/>
  <c r="H45" i="1" s="1"/>
  <c r="I45" i="1" s="1"/>
  <c r="C45" i="1"/>
  <c r="D45" i="1" s="1"/>
  <c r="E45" i="1" s="1"/>
  <c r="B59" i="4"/>
  <c r="E63" i="1" l="1"/>
  <c r="E46" i="4" l="1"/>
  <c r="E52" i="4" s="1"/>
  <c r="E53" i="4" s="1"/>
  <c r="D46" i="4"/>
  <c r="C46" i="4"/>
  <c r="F83" i="5"/>
  <c r="F82" i="5"/>
  <c r="F81" i="5"/>
  <c r="C99" i="5"/>
  <c r="B99" i="5"/>
  <c r="F84" i="5"/>
  <c r="F79" i="5"/>
  <c r="F48" i="5"/>
  <c r="F47" i="5"/>
  <c r="F46" i="5"/>
  <c r="D56" i="4"/>
  <c r="D49" i="4"/>
  <c r="D57" i="4" s="1"/>
  <c r="E49" i="4"/>
  <c r="E56" i="4"/>
  <c r="E57" i="4"/>
  <c r="F13" i="5" l="1"/>
  <c r="F12" i="5"/>
  <c r="F11" i="5"/>
  <c r="F14" i="5" s="1"/>
  <c r="D10" i="4"/>
  <c r="D9" i="4"/>
  <c r="D8" i="4"/>
  <c r="D7" i="4"/>
  <c r="D12" i="4"/>
  <c r="D11" i="4"/>
  <c r="D6" i="4"/>
  <c r="C59" i="4"/>
  <c r="B60" i="4"/>
  <c r="C60" i="4" s="1"/>
  <c r="G17" i="4"/>
  <c r="G16" i="4"/>
  <c r="D17" i="4"/>
  <c r="D16" i="4"/>
  <c r="D60" i="4" l="1"/>
  <c r="F40" i="5" s="1"/>
  <c r="E60" i="4"/>
  <c r="F75" i="5" s="1"/>
  <c r="D59" i="4"/>
  <c r="F38" i="5" s="1"/>
  <c r="E59" i="4"/>
  <c r="F73" i="5" s="1"/>
  <c r="F5" i="5"/>
  <c r="F3" i="5"/>
  <c r="D88" i="5" l="1"/>
  <c r="D89" i="5"/>
  <c r="D90" i="5"/>
  <c r="D91" i="5"/>
  <c r="D92" i="5"/>
  <c r="D93" i="5"/>
  <c r="D94" i="5"/>
  <c r="D95" i="5"/>
  <c r="D96" i="5"/>
  <c r="D97" i="5"/>
  <c r="D98" i="5"/>
  <c r="D87" i="5"/>
  <c r="D53" i="5"/>
  <c r="D54" i="5"/>
  <c r="D55" i="5"/>
  <c r="D56" i="5"/>
  <c r="D57" i="5"/>
  <c r="D58" i="5"/>
  <c r="D59" i="5"/>
  <c r="D60" i="5"/>
  <c r="D61" i="5"/>
  <c r="D62" i="5"/>
  <c r="D63" i="5"/>
  <c r="D64" i="5"/>
  <c r="D52" i="5"/>
  <c r="E88" i="5"/>
  <c r="E89" i="5"/>
  <c r="E90" i="5"/>
  <c r="E91" i="5"/>
  <c r="E92" i="5"/>
  <c r="E93" i="5"/>
  <c r="E94" i="5"/>
  <c r="E95" i="5"/>
  <c r="E96" i="5"/>
  <c r="E97" i="5"/>
  <c r="E98" i="5"/>
  <c r="E87" i="5"/>
  <c r="E53" i="5"/>
  <c r="E54" i="5"/>
  <c r="E55" i="5"/>
  <c r="E56" i="5"/>
  <c r="E57" i="5"/>
  <c r="E58" i="5"/>
  <c r="E59" i="5"/>
  <c r="E60" i="5"/>
  <c r="E61" i="5"/>
  <c r="E62" i="5"/>
  <c r="E63" i="5"/>
  <c r="E52" i="5"/>
  <c r="B63" i="4"/>
  <c r="B65" i="4" l="1"/>
  <c r="B76" i="4"/>
  <c r="B64" i="4"/>
  <c r="B79" i="4" s="1"/>
  <c r="C63" i="4"/>
  <c r="C64" i="5"/>
  <c r="B64" i="5"/>
  <c r="F44" i="5"/>
  <c r="D42" i="1"/>
  <c r="D38" i="1"/>
  <c r="D43" i="1" s="1"/>
  <c r="D49" i="1"/>
  <c r="C29" i="5"/>
  <c r="B29" i="5"/>
  <c r="E28" i="5"/>
  <c r="D28" i="5"/>
  <c r="F28" i="5" s="1"/>
  <c r="E27" i="5"/>
  <c r="D27" i="5"/>
  <c r="F27" i="5" s="1"/>
  <c r="E26" i="5"/>
  <c r="D26" i="5"/>
  <c r="F26" i="5" s="1"/>
  <c r="E25" i="5"/>
  <c r="D25" i="5"/>
  <c r="F25" i="5" s="1"/>
  <c r="E24" i="5"/>
  <c r="D24" i="5"/>
  <c r="F24" i="5" s="1"/>
  <c r="E23" i="5"/>
  <c r="D23" i="5"/>
  <c r="F23" i="5" s="1"/>
  <c r="E22" i="5"/>
  <c r="D22" i="5"/>
  <c r="F22" i="5" s="1"/>
  <c r="E21" i="5"/>
  <c r="D21" i="5"/>
  <c r="F21" i="5" s="1"/>
  <c r="E20" i="5"/>
  <c r="D20" i="5"/>
  <c r="F20" i="5" s="1"/>
  <c r="E19" i="5"/>
  <c r="D19" i="5"/>
  <c r="F19" i="5" s="1"/>
  <c r="E18" i="5"/>
  <c r="D18" i="5"/>
  <c r="F18" i="5" s="1"/>
  <c r="E17" i="5"/>
  <c r="E29" i="5" s="1"/>
  <c r="D17" i="5"/>
  <c r="F10" i="5"/>
  <c r="F9" i="5"/>
  <c r="E99" i="5" l="1"/>
  <c r="F98" i="5"/>
  <c r="J98" i="5" s="1"/>
  <c r="F97" i="5"/>
  <c r="J97" i="5" s="1"/>
  <c r="F96" i="5"/>
  <c r="J96" i="5" s="1"/>
  <c r="F95" i="5"/>
  <c r="J95" i="5" s="1"/>
  <c r="F94" i="5"/>
  <c r="J94" i="5" s="1"/>
  <c r="F93" i="5"/>
  <c r="J93" i="5" s="1"/>
  <c r="F92" i="5"/>
  <c r="J92" i="5" s="1"/>
  <c r="F91" i="5"/>
  <c r="J91" i="5" s="1"/>
  <c r="F90" i="5"/>
  <c r="J90" i="5" s="1"/>
  <c r="F89" i="5"/>
  <c r="J89" i="5" s="1"/>
  <c r="F88" i="5"/>
  <c r="J88" i="5" s="1"/>
  <c r="D63" i="4"/>
  <c r="F42" i="5" s="1"/>
  <c r="E63" i="4"/>
  <c r="F77" i="5" s="1"/>
  <c r="F7" i="5"/>
  <c r="E64" i="5"/>
  <c r="F63" i="5"/>
  <c r="F62" i="5"/>
  <c r="F61" i="5"/>
  <c r="F60" i="5"/>
  <c r="F59" i="5"/>
  <c r="F58" i="5"/>
  <c r="F57" i="5"/>
  <c r="F56" i="5"/>
  <c r="F55" i="5"/>
  <c r="F54" i="5"/>
  <c r="F53" i="5"/>
  <c r="F52" i="5"/>
  <c r="J53" i="5"/>
  <c r="J54" i="5"/>
  <c r="J55" i="5"/>
  <c r="J56" i="5"/>
  <c r="J57" i="5"/>
  <c r="J58" i="5"/>
  <c r="J59" i="5"/>
  <c r="J60" i="5"/>
  <c r="J61" i="5"/>
  <c r="J62" i="5"/>
  <c r="J63" i="5"/>
  <c r="D29" i="5"/>
  <c r="F17" i="5"/>
  <c r="J18" i="5"/>
  <c r="M18" i="5" s="1"/>
  <c r="J19" i="5"/>
  <c r="M19" i="5" s="1"/>
  <c r="J20" i="5"/>
  <c r="M20" i="5" s="1"/>
  <c r="J21" i="5"/>
  <c r="M21" i="5" s="1"/>
  <c r="J22" i="5"/>
  <c r="M22" i="5" s="1"/>
  <c r="J23" i="5"/>
  <c r="M23" i="5" s="1"/>
  <c r="J24" i="5"/>
  <c r="M24" i="5" s="1"/>
  <c r="J25" i="5"/>
  <c r="M25" i="5" s="1"/>
  <c r="J26" i="5"/>
  <c r="M26" i="5" s="1"/>
  <c r="J27" i="5"/>
  <c r="M27" i="5" s="1"/>
  <c r="J28" i="5"/>
  <c r="M28" i="5" s="1"/>
  <c r="K88" i="5" l="1"/>
  <c r="L88" i="5" s="1"/>
  <c r="M88" i="5" s="1"/>
  <c r="O88" i="5" s="1"/>
  <c r="K89" i="5"/>
  <c r="L89" i="5" s="1"/>
  <c r="M89" i="5" s="1"/>
  <c r="O89" i="5" s="1"/>
  <c r="K90" i="5"/>
  <c r="L90" i="5" s="1"/>
  <c r="M90" i="5" s="1"/>
  <c r="O90" i="5" s="1"/>
  <c r="K91" i="5"/>
  <c r="L91" i="5" s="1"/>
  <c r="M91" i="5" s="1"/>
  <c r="O91" i="5" s="1"/>
  <c r="K92" i="5"/>
  <c r="L92" i="5" s="1"/>
  <c r="M92" i="5" s="1"/>
  <c r="O92" i="5" s="1"/>
  <c r="K93" i="5"/>
  <c r="L93" i="5" s="1"/>
  <c r="M93" i="5" s="1"/>
  <c r="O93" i="5" s="1"/>
  <c r="K94" i="5"/>
  <c r="L94" i="5" s="1"/>
  <c r="M94" i="5" s="1"/>
  <c r="O94" i="5" s="1"/>
  <c r="K95" i="5"/>
  <c r="L95" i="5" s="1"/>
  <c r="M95" i="5" s="1"/>
  <c r="O95" i="5" s="1"/>
  <c r="K96" i="5"/>
  <c r="L96" i="5" s="1"/>
  <c r="M96" i="5" s="1"/>
  <c r="O96" i="5" s="1"/>
  <c r="K97" i="5"/>
  <c r="L97" i="5" s="1"/>
  <c r="M97" i="5" s="1"/>
  <c r="O97" i="5" s="1"/>
  <c r="K98" i="5"/>
  <c r="L98" i="5" s="1"/>
  <c r="M98" i="5" s="1"/>
  <c r="O98" i="5" s="1"/>
  <c r="K87" i="5"/>
  <c r="L87" i="5" s="1"/>
  <c r="P53" i="5"/>
  <c r="P54" i="5"/>
  <c r="P55" i="5"/>
  <c r="P56" i="5"/>
  <c r="P57" i="5"/>
  <c r="P58" i="5"/>
  <c r="P59" i="5"/>
  <c r="P60" i="5"/>
  <c r="P61" i="5"/>
  <c r="P62" i="5"/>
  <c r="P63" i="5"/>
  <c r="P52" i="5"/>
  <c r="K53" i="5"/>
  <c r="L53" i="5" s="1"/>
  <c r="M53" i="5" s="1"/>
  <c r="O53" i="5" s="1"/>
  <c r="K54" i="5"/>
  <c r="L54" i="5" s="1"/>
  <c r="M54" i="5" s="1"/>
  <c r="O54" i="5" s="1"/>
  <c r="K55" i="5"/>
  <c r="L55" i="5" s="1"/>
  <c r="M55" i="5" s="1"/>
  <c r="O55" i="5" s="1"/>
  <c r="K56" i="5"/>
  <c r="L56" i="5" s="1"/>
  <c r="M56" i="5" s="1"/>
  <c r="O56" i="5" s="1"/>
  <c r="K57" i="5"/>
  <c r="L57" i="5" s="1"/>
  <c r="M57" i="5" s="1"/>
  <c r="O57" i="5" s="1"/>
  <c r="K58" i="5"/>
  <c r="L58" i="5" s="1"/>
  <c r="M58" i="5" s="1"/>
  <c r="O58" i="5" s="1"/>
  <c r="K59" i="5"/>
  <c r="L59" i="5" s="1"/>
  <c r="M59" i="5" s="1"/>
  <c r="O59" i="5" s="1"/>
  <c r="K60" i="5"/>
  <c r="L60" i="5" s="1"/>
  <c r="M60" i="5" s="1"/>
  <c r="O60" i="5" s="1"/>
  <c r="K61" i="5"/>
  <c r="L61" i="5" s="1"/>
  <c r="M61" i="5" s="1"/>
  <c r="O61" i="5" s="1"/>
  <c r="K62" i="5"/>
  <c r="L62" i="5" s="1"/>
  <c r="M62" i="5" s="1"/>
  <c r="O62" i="5" s="1"/>
  <c r="K63" i="5"/>
  <c r="L63" i="5" s="1"/>
  <c r="M63" i="5" s="1"/>
  <c r="O63" i="5" s="1"/>
  <c r="K52" i="5"/>
  <c r="L52" i="5" s="1"/>
  <c r="N88" i="5"/>
  <c r="G88" i="5" s="1"/>
  <c r="N89" i="5"/>
  <c r="G89" i="5" s="1"/>
  <c r="N90" i="5"/>
  <c r="G90" i="5" s="1"/>
  <c r="N91" i="5"/>
  <c r="G91" i="5" s="1"/>
  <c r="N92" i="5"/>
  <c r="G92" i="5" s="1"/>
  <c r="N93" i="5"/>
  <c r="G93" i="5" s="1"/>
  <c r="N94" i="5"/>
  <c r="G94" i="5" s="1"/>
  <c r="N95" i="5"/>
  <c r="G95" i="5" s="1"/>
  <c r="N96" i="5"/>
  <c r="G96" i="5" s="1"/>
  <c r="N97" i="5"/>
  <c r="G97" i="5" s="1"/>
  <c r="N98" i="5"/>
  <c r="G98" i="5" s="1"/>
  <c r="N63" i="5"/>
  <c r="G63" i="5" s="1"/>
  <c r="N62" i="5"/>
  <c r="G62" i="5" s="1"/>
  <c r="N61" i="5"/>
  <c r="G61" i="5" s="1"/>
  <c r="N60" i="5"/>
  <c r="G60" i="5" s="1"/>
  <c r="N59" i="5"/>
  <c r="G59" i="5" s="1"/>
  <c r="N58" i="5"/>
  <c r="G58" i="5" s="1"/>
  <c r="N57" i="5"/>
  <c r="G57" i="5" s="1"/>
  <c r="N56" i="5"/>
  <c r="G56" i="5" s="1"/>
  <c r="N55" i="5"/>
  <c r="G55" i="5" s="1"/>
  <c r="N54" i="5"/>
  <c r="G54" i="5" s="1"/>
  <c r="N53" i="5"/>
  <c r="G53" i="5" s="1"/>
  <c r="P98" i="5"/>
  <c r="P97" i="5"/>
  <c r="P96" i="5"/>
  <c r="P95" i="5"/>
  <c r="P94" i="5"/>
  <c r="P93" i="5"/>
  <c r="P92" i="5"/>
  <c r="P91" i="5"/>
  <c r="P90" i="5"/>
  <c r="P89" i="5"/>
  <c r="P88" i="5"/>
  <c r="P87" i="5"/>
  <c r="P99" i="5" s="1"/>
  <c r="D99" i="5"/>
  <c r="F87" i="5"/>
  <c r="P64" i="5"/>
  <c r="O28" i="5"/>
  <c r="K28" i="5"/>
  <c r="O27" i="5"/>
  <c r="K27" i="5"/>
  <c r="O26" i="5"/>
  <c r="K26" i="5"/>
  <c r="O25" i="5"/>
  <c r="K25" i="5"/>
  <c r="O24" i="5"/>
  <c r="K24" i="5"/>
  <c r="O23" i="5"/>
  <c r="K23" i="5"/>
  <c r="O22" i="5"/>
  <c r="K22" i="5"/>
  <c r="O21" i="5"/>
  <c r="K21" i="5"/>
  <c r="O20" i="5"/>
  <c r="K20" i="5"/>
  <c r="O19" i="5"/>
  <c r="K19" i="5"/>
  <c r="O18" i="5"/>
  <c r="K18" i="5"/>
  <c r="O17" i="5"/>
  <c r="O29" i="5" s="1"/>
  <c r="K17" i="5"/>
  <c r="Q63" i="5"/>
  <c r="H63" i="5"/>
  <c r="I63" i="5" s="1"/>
  <c r="Q62" i="5"/>
  <c r="H62" i="5"/>
  <c r="I62" i="5" s="1"/>
  <c r="Q61" i="5"/>
  <c r="H61" i="5"/>
  <c r="I61" i="5" s="1"/>
  <c r="Q60" i="5"/>
  <c r="H60" i="5"/>
  <c r="I60" i="5" s="1"/>
  <c r="Q59" i="5"/>
  <c r="H59" i="5"/>
  <c r="I59" i="5" s="1"/>
  <c r="Q58" i="5"/>
  <c r="H58" i="5"/>
  <c r="I58" i="5" s="1"/>
  <c r="Q57" i="5"/>
  <c r="H57" i="5"/>
  <c r="I57" i="5" s="1"/>
  <c r="Q56" i="5"/>
  <c r="H56" i="5"/>
  <c r="I56" i="5" s="1"/>
  <c r="Q55" i="5"/>
  <c r="H55" i="5"/>
  <c r="I55" i="5" s="1"/>
  <c r="Q54" i="5"/>
  <c r="H54" i="5"/>
  <c r="I54" i="5" s="1"/>
  <c r="Q53" i="5"/>
  <c r="H53" i="5"/>
  <c r="I53" i="5" s="1"/>
  <c r="I64" i="5" s="1"/>
  <c r="F64" i="5"/>
  <c r="J52" i="5"/>
  <c r="L28" i="5"/>
  <c r="G28" i="5"/>
  <c r="L27" i="5"/>
  <c r="G27" i="5"/>
  <c r="L26" i="5"/>
  <c r="G26" i="5"/>
  <c r="L25" i="5"/>
  <c r="G25" i="5"/>
  <c r="L24" i="5"/>
  <c r="G24" i="5"/>
  <c r="L23" i="5"/>
  <c r="G23" i="5"/>
  <c r="L22" i="5"/>
  <c r="G22" i="5"/>
  <c r="L21" i="5"/>
  <c r="G21" i="5"/>
  <c r="L20" i="5"/>
  <c r="G20" i="5"/>
  <c r="L19" i="5"/>
  <c r="G19" i="5"/>
  <c r="L18" i="5"/>
  <c r="G18" i="5"/>
  <c r="F29" i="5"/>
  <c r="J17" i="5"/>
  <c r="M17" i="5" s="1"/>
  <c r="D13" i="4"/>
  <c r="M52" i="5" l="1"/>
  <c r="O52" i="5" s="1"/>
  <c r="N52" i="5"/>
  <c r="F99" i="5"/>
  <c r="J87" i="5"/>
  <c r="Q88" i="5"/>
  <c r="H88" i="5"/>
  <c r="I88" i="5" s="1"/>
  <c r="Q89" i="5"/>
  <c r="H89" i="5"/>
  <c r="I89" i="5" s="1"/>
  <c r="Q90" i="5"/>
  <c r="H90" i="5"/>
  <c r="I90" i="5" s="1"/>
  <c r="Q91" i="5"/>
  <c r="H91" i="5"/>
  <c r="I91" i="5" s="1"/>
  <c r="Q92" i="5"/>
  <c r="H92" i="5"/>
  <c r="I92" i="5" s="1"/>
  <c r="Q93" i="5"/>
  <c r="H93" i="5"/>
  <c r="I93" i="5" s="1"/>
  <c r="Q94" i="5"/>
  <c r="H94" i="5"/>
  <c r="I94" i="5" s="1"/>
  <c r="Q95" i="5"/>
  <c r="H95" i="5"/>
  <c r="I95" i="5" s="1"/>
  <c r="Q96" i="5"/>
  <c r="H96" i="5"/>
  <c r="I96" i="5" s="1"/>
  <c r="Q97" i="5"/>
  <c r="H97" i="5"/>
  <c r="I97" i="5" s="1"/>
  <c r="Q98" i="5"/>
  <c r="H98" i="5"/>
  <c r="I98" i="5" s="1"/>
  <c r="G52" i="5"/>
  <c r="G64" i="5" s="1"/>
  <c r="L17" i="5"/>
  <c r="G17" i="5"/>
  <c r="G29" i="5" s="1"/>
  <c r="N18" i="5"/>
  <c r="P18" i="5" s="1"/>
  <c r="H18" i="5"/>
  <c r="I18" i="5" s="1"/>
  <c r="N19" i="5"/>
  <c r="P19" i="5" s="1"/>
  <c r="H19" i="5"/>
  <c r="I19" i="5" s="1"/>
  <c r="N20" i="5"/>
  <c r="P20" i="5" s="1"/>
  <c r="H20" i="5"/>
  <c r="I20" i="5" s="1"/>
  <c r="N21" i="5"/>
  <c r="P21" i="5" s="1"/>
  <c r="H21" i="5"/>
  <c r="I21" i="5" s="1"/>
  <c r="N22" i="5"/>
  <c r="P22" i="5" s="1"/>
  <c r="H22" i="5"/>
  <c r="I22" i="5" s="1"/>
  <c r="N23" i="5"/>
  <c r="P23" i="5" s="1"/>
  <c r="H23" i="5"/>
  <c r="I23" i="5" s="1"/>
  <c r="N24" i="5"/>
  <c r="P24" i="5" s="1"/>
  <c r="H24" i="5"/>
  <c r="I24" i="5" s="1"/>
  <c r="N25" i="5"/>
  <c r="P25" i="5" s="1"/>
  <c r="H25" i="5"/>
  <c r="I25" i="5" s="1"/>
  <c r="N26" i="5"/>
  <c r="P26" i="5" s="1"/>
  <c r="H26" i="5"/>
  <c r="I26" i="5" s="1"/>
  <c r="N27" i="5"/>
  <c r="P27" i="5" s="1"/>
  <c r="H27" i="5"/>
  <c r="I27" i="5" s="1"/>
  <c r="N28" i="5"/>
  <c r="P28" i="5" s="1"/>
  <c r="H28" i="5"/>
  <c r="I28" i="5" s="1"/>
  <c r="D18" i="4"/>
  <c r="D15" i="4"/>
  <c r="L39" i="1"/>
  <c r="L40" i="1" s="1"/>
  <c r="K39" i="1"/>
  <c r="K40" i="1" s="1"/>
  <c r="D19" i="4"/>
  <c r="N87" i="5" l="1"/>
  <c r="M87" i="5"/>
  <c r="O87" i="5" s="1"/>
  <c r="G87" i="5"/>
  <c r="G99" i="5" s="1"/>
  <c r="I99" i="5"/>
  <c r="H87" i="5"/>
  <c r="H52" i="5"/>
  <c r="I29" i="5"/>
  <c r="N17" i="5"/>
  <c r="H17" i="5"/>
  <c r="D24" i="4"/>
  <c r="E54" i="1"/>
  <c r="C56" i="4"/>
  <c r="B56" i="4"/>
  <c r="H99" i="5" l="1"/>
  <c r="I87" i="5"/>
  <c r="O99" i="5"/>
  <c r="C103" i="5" s="1"/>
  <c r="E66" i="4" s="1"/>
  <c r="E69" i="4" s="1"/>
  <c r="Q87" i="5"/>
  <c r="Q99" i="5" s="1"/>
  <c r="C104" i="5" s="1"/>
  <c r="E67" i="4" s="1"/>
  <c r="E78" i="4" s="1"/>
  <c r="H64" i="5"/>
  <c r="I52" i="5"/>
  <c r="O64" i="5"/>
  <c r="C68" i="5" s="1"/>
  <c r="Q52" i="5"/>
  <c r="Q64" i="5" s="1"/>
  <c r="C69" i="5" s="1"/>
  <c r="H29" i="5"/>
  <c r="I17" i="5"/>
  <c r="N29" i="5"/>
  <c r="C33" i="5" s="1"/>
  <c r="P17" i="5"/>
  <c r="P29" i="5" s="1"/>
  <c r="C34" i="5" s="1"/>
  <c r="F54" i="1"/>
  <c r="I54" i="1"/>
  <c r="I56" i="1" s="1"/>
  <c r="J54" i="1"/>
  <c r="M54" i="1"/>
  <c r="B54" i="1"/>
  <c r="E68" i="4" l="1"/>
  <c r="D63" i="1"/>
  <c r="D67" i="4"/>
  <c r="D78" i="4" s="1"/>
  <c r="D66" i="4"/>
  <c r="C66" i="5"/>
  <c r="D61" i="4" s="1"/>
  <c r="C101" i="5"/>
  <c r="E62" i="4" s="1"/>
  <c r="C63" i="1"/>
  <c r="C67" i="4"/>
  <c r="C66" i="4"/>
  <c r="C69" i="4" s="1"/>
  <c r="C31" i="5"/>
  <c r="C61" i="4" s="1"/>
  <c r="C64" i="4" s="1"/>
  <c r="C79" i="4" s="1"/>
  <c r="C55" i="1"/>
  <c r="D55" i="1"/>
  <c r="C42" i="1"/>
  <c r="E42" i="1"/>
  <c r="I42" i="1"/>
  <c r="M42" i="1"/>
  <c r="K42" i="1"/>
  <c r="L42" i="1"/>
  <c r="H42" i="1"/>
  <c r="D68" i="4" l="1"/>
  <c r="D69" i="4"/>
  <c r="C72" i="4"/>
  <c r="C68" i="4"/>
  <c r="E76" i="4"/>
  <c r="E65" i="4"/>
  <c r="E71" i="4" s="1"/>
  <c r="E64" i="4"/>
  <c r="E79" i="4" s="1"/>
  <c r="D76" i="4"/>
  <c r="D65" i="4"/>
  <c r="D71" i="4" s="1"/>
  <c r="D64" i="4"/>
  <c r="D79" i="4" s="1"/>
  <c r="D72" i="4"/>
  <c r="C65" i="4"/>
  <c r="C71" i="4" s="1"/>
  <c r="C76" i="4"/>
  <c r="D56" i="1"/>
  <c r="D58" i="1" s="1"/>
  <c r="C38" i="1"/>
  <c r="E38" i="1"/>
  <c r="J38" i="1"/>
  <c r="K38" i="1"/>
  <c r="L38" i="1"/>
  <c r="M38" i="1"/>
  <c r="D73" i="4" l="1"/>
  <c r="C49" i="4" l="1"/>
  <c r="G56" i="1"/>
  <c r="M56" i="1"/>
  <c r="L56" i="1"/>
  <c r="K56" i="1"/>
  <c r="J56" i="1"/>
  <c r="F56" i="1"/>
  <c r="C56" i="1"/>
  <c r="M43" i="1"/>
  <c r="H43" i="1"/>
  <c r="I43" i="1"/>
  <c r="C43" i="1"/>
  <c r="G60" i="1" l="1"/>
  <c r="G59" i="1"/>
  <c r="C58" i="1"/>
  <c r="B67" i="4"/>
  <c r="B78" i="4" s="1"/>
  <c r="B66" i="4"/>
  <c r="B49" i="4"/>
  <c r="B57" i="4"/>
  <c r="E56" i="1"/>
  <c r="C57" i="4"/>
  <c r="B38" i="1"/>
  <c r="B43" i="1" s="1"/>
  <c r="D44" i="1" s="1"/>
  <c r="E43" i="1"/>
  <c r="J43" i="1"/>
  <c r="J44" i="1" s="1"/>
  <c r="K43" i="1"/>
  <c r="L43" i="1"/>
  <c r="E58" i="4" l="1"/>
  <c r="D58" i="4"/>
  <c r="F44" i="1"/>
  <c r="B68" i="4"/>
  <c r="B71" i="4" s="1"/>
  <c r="M44" i="1"/>
  <c r="I44" i="1"/>
  <c r="H44" i="1"/>
  <c r="C44" i="1"/>
  <c r="K44" i="1"/>
  <c r="C58" i="4"/>
  <c r="L44" i="1"/>
  <c r="E44" i="1"/>
  <c r="B56" i="1"/>
  <c r="C60" i="1" s="1"/>
  <c r="L60" i="1" l="1"/>
  <c r="L59" i="1"/>
  <c r="K60" i="1"/>
  <c r="K59" i="1"/>
  <c r="I60" i="1"/>
  <c r="I59" i="1"/>
  <c r="H60" i="1"/>
  <c r="H59" i="1"/>
  <c r="M59" i="1"/>
  <c r="M60" i="1"/>
  <c r="D60" i="1"/>
  <c r="D59" i="1"/>
  <c r="E60" i="1"/>
  <c r="C78" i="4"/>
  <c r="E59" i="1"/>
  <c r="C59" i="1"/>
  <c r="E75" i="4" l="1"/>
  <c r="D74" i="4"/>
  <c r="E74" i="4"/>
  <c r="D75" i="4" l="1"/>
  <c r="C73" i="4"/>
  <c r="C75" i="4"/>
  <c r="C74" i="4"/>
  <c r="F49" i="5"/>
</calcChain>
</file>

<file path=xl/sharedStrings.xml><?xml version="1.0" encoding="utf-8"?>
<sst xmlns="http://schemas.openxmlformats.org/spreadsheetml/2006/main" count="439" uniqueCount="185">
  <si>
    <t>Bezeichnung</t>
  </si>
  <si>
    <t>Investition</t>
  </si>
  <si>
    <t>Kosteneinsparung nach 20 Jahren</t>
  </si>
  <si>
    <t>Autarkie Wärme</t>
  </si>
  <si>
    <t>Autarkie Strom</t>
  </si>
  <si>
    <t>Förderung</t>
  </si>
  <si>
    <t>Solarthermie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</si>
  <si>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</si>
  <si>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</si>
  <si>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</si>
  <si>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</si>
  <si>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</si>
  <si>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</si>
  <si>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</si>
  <si>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</si>
  <si>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</si>
  <si>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 xml:space="preserve">BHKW mit </t>
  </si>
  <si>
    <t>Brennstoffzelle</t>
  </si>
  <si>
    <t>Amortisationszeit (a - Jahre)</t>
  </si>
  <si>
    <t>CO2 (t/a - Tonnen pro Jahr)</t>
  </si>
  <si>
    <t>Endenergie (kWh/a - kWh pro Jahr)</t>
  </si>
  <si>
    <t>Gaspreis</t>
  </si>
  <si>
    <t>Strompreis</t>
  </si>
  <si>
    <t>Cent/kWh</t>
  </si>
  <si>
    <t>Strom</t>
  </si>
  <si>
    <t>Holzpreis</t>
  </si>
  <si>
    <t>Pelletpreis</t>
  </si>
  <si>
    <t>€/ rm</t>
  </si>
  <si>
    <t>€/ t</t>
  </si>
  <si>
    <t>kWh/rm</t>
  </si>
  <si>
    <t>kWh/t</t>
  </si>
  <si>
    <t>CO2-Faktoren:</t>
  </si>
  <si>
    <t>Gas</t>
  </si>
  <si>
    <t>Holz</t>
  </si>
  <si>
    <t>Pellet</t>
  </si>
  <si>
    <t>kg/kWh</t>
  </si>
  <si>
    <t>Ausgangswerte:</t>
  </si>
  <si>
    <t>Ist-Zustand</t>
  </si>
  <si>
    <t>Brennstofflager</t>
  </si>
  <si>
    <t>Wasserspeicher</t>
  </si>
  <si>
    <t>Instandhaltungsanteil</t>
  </si>
  <si>
    <t>Variante 5 a</t>
  </si>
  <si>
    <t>Variante 5 b</t>
  </si>
  <si>
    <t>Motor</t>
  </si>
  <si>
    <t>Ölpreis</t>
  </si>
  <si>
    <t>Öl</t>
  </si>
  <si>
    <t>Energiekosten pro Jahr</t>
  </si>
  <si>
    <t>Stromproduktion pro Jahr</t>
  </si>
  <si>
    <t>Stromerlös pro Jahr</t>
  </si>
  <si>
    <t>Wartungskosten etc. pro Jahr</t>
  </si>
  <si>
    <t>Betriebskosten pro Jahr</t>
  </si>
  <si>
    <t>Strom pro Jahr</t>
  </si>
  <si>
    <t>Investition im Vergleich</t>
  </si>
  <si>
    <t>davon Strom selbstgenutzt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</si>
  <si>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</si>
  <si>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</si>
  <si>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</si>
  <si>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</si>
  <si>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</si>
  <si>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</si>
  <si>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</si>
  <si>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Ölverbrauch</t>
  </si>
  <si>
    <t>Liter</t>
  </si>
  <si>
    <t>In diesen Feldern stehen die im Ratgeber dokumentierten Vorgabewerte</t>
  </si>
  <si>
    <t>grüne Schriftfarbe</t>
  </si>
  <si>
    <t>rote Schriftfarbe</t>
  </si>
  <si>
    <t>Bei dieser Varianten ist die Investition geringer als im Ist-Zustand</t>
  </si>
  <si>
    <t>In dieser Zeile ist die Variante ungünstiger als der Ist-Zustand</t>
  </si>
  <si>
    <t>Bitte eigene Werte eintragen</t>
  </si>
  <si>
    <t>Förderfähig für BEG EM</t>
  </si>
  <si>
    <t>Förderung BEG EM</t>
  </si>
  <si>
    <t xml:space="preserve">sonstige Förderung </t>
  </si>
  <si>
    <t>Sonstige Förderung</t>
  </si>
  <si>
    <t>Förderung Land/ Kommune</t>
  </si>
  <si>
    <t>Grünes Gas für Brennstoffzelle</t>
  </si>
  <si>
    <t>Grünes Gas</t>
  </si>
  <si>
    <t>Tabelle 3:</t>
  </si>
  <si>
    <t>zu Kapitel 2, BHKW</t>
  </si>
  <si>
    <t xml:space="preserve">zu Kapitel 2, BHKW </t>
  </si>
  <si>
    <t>Heizwärme pro Jahr</t>
  </si>
  <si>
    <t>Warmwasserbereitung pro Jahr</t>
  </si>
  <si>
    <t>Elektrische Leistung BHKW</t>
  </si>
  <si>
    <t>Thermische Leistung BHKW</t>
  </si>
  <si>
    <t>Wirkungsgrad BHKW</t>
  </si>
  <si>
    <t>Jahresenergieverbrauch Heizung:</t>
  </si>
  <si>
    <t>Jahresenergieverbrauch Warmwasser:</t>
  </si>
  <si>
    <t>Jahresenergieverbrauch Strom</t>
  </si>
  <si>
    <t>kWh</t>
  </si>
  <si>
    <t>Stromdeckungsfaktor</t>
  </si>
  <si>
    <t>Faktor Spitzenstrom</t>
  </si>
  <si>
    <t>Leistung BHKW el.</t>
  </si>
  <si>
    <t>kW</t>
  </si>
  <si>
    <t>Leistung BHKW th.</t>
  </si>
  <si>
    <t>Brennstoff BHKW</t>
  </si>
  <si>
    <t>Monat</t>
  </si>
  <si>
    <t>Tage</t>
  </si>
  <si>
    <t>GTZ</t>
  </si>
  <si>
    <t>Heizung</t>
  </si>
  <si>
    <t>Warmwasser</t>
  </si>
  <si>
    <t>Wärme</t>
  </si>
  <si>
    <t>Laufzeit</t>
  </si>
  <si>
    <t>Wärme BHKW</t>
  </si>
  <si>
    <t>Wärme Kessel</t>
  </si>
  <si>
    <t>Wärme/d</t>
  </si>
  <si>
    <t>Strombed/d</t>
  </si>
  <si>
    <t>Wärme BHKW/d</t>
  </si>
  <si>
    <t>Laufzeit/d</t>
  </si>
  <si>
    <t>Strom/Monat</t>
  </si>
  <si>
    <t>Strombed/Monat</t>
  </si>
  <si>
    <t>Stromdeckung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</si>
  <si>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</si>
  <si>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</si>
  <si>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</si>
  <si>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</si>
  <si>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</si>
  <si>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</si>
  <si>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</si>
  <si>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</si>
  <si>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</si>
  <si>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</si>
  <si>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</si>
  <si>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</si>
  <si>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</si>
  <si>
    <t>BHKW mit Motor, nicht modulierend</t>
  </si>
  <si>
    <t>Gasverbrauch pro Jahr</t>
  </si>
  <si>
    <t>dovon selbstgenutzt</t>
  </si>
  <si>
    <t>Wartungskosten</t>
  </si>
  <si>
    <t>Autarkie Gesamt</t>
  </si>
  <si>
    <t>modulierend</t>
  </si>
  <si>
    <t>Stromdeckung/d</t>
  </si>
  <si>
    <t>BHKW mit Motor modulierend</t>
  </si>
  <si>
    <t>Autarkie Gesamt: mindestens 50 Prozent</t>
  </si>
  <si>
    <t>Gasverbrauch</t>
  </si>
  <si>
    <t>Energie für Warmwasser (aus Tab.1)</t>
  </si>
  <si>
    <t>Verluste Warmwasser (aus Tab1)</t>
  </si>
  <si>
    <t>Scheitholzverbrauch</t>
  </si>
  <si>
    <t>Pelletverbrauch</t>
  </si>
  <si>
    <t>Heizstromverbrauch</t>
  </si>
  <si>
    <t>rm</t>
  </si>
  <si>
    <t>t</t>
  </si>
  <si>
    <t>Heizstrompreis</t>
  </si>
  <si>
    <t>Erdgas pro Jahr</t>
  </si>
  <si>
    <t>Grünes Gas pro Jahr</t>
  </si>
  <si>
    <t>Wirkungsgrad</t>
  </si>
  <si>
    <t>während Jahren</t>
  </si>
  <si>
    <t>Betriebskosten danach</t>
  </si>
  <si>
    <t>Anmerkung:</t>
  </si>
  <si>
    <t>Deswegen kann die Kosteneinsparung nach 20 Jahren geringer sein, als nach der Amortisationszeit erwartet.</t>
  </si>
  <si>
    <t>→ Anmerkung</t>
  </si>
  <si>
    <t>BHKW mit Brennstoffzelle modulierend</t>
  </si>
  <si>
    <t xml:space="preserve">                            1,4 €/ Liter</t>
  </si>
  <si>
    <t xml:space="preserve">                            12,0 ct/kWh</t>
  </si>
  <si>
    <t xml:space="preserve">                            40,0 ct/kWh</t>
  </si>
  <si>
    <t xml:space="preserve">                              4,0 ct/kWh</t>
  </si>
  <si>
    <t xml:space="preserve">                          4000 kWh/a</t>
  </si>
  <si>
    <t>Variante 5 c</t>
  </si>
  <si>
    <t>Vergütung für eingespeisten Strom</t>
  </si>
  <si>
    <t>Wirkungsgrad Heizung (Brennwert)</t>
  </si>
  <si>
    <t>€/Liter</t>
  </si>
  <si>
    <t>ct/kWh</t>
  </si>
  <si>
    <t>Neubauvorhaben</t>
  </si>
  <si>
    <t>a</t>
  </si>
  <si>
    <t>n oder a eingeben</t>
  </si>
  <si>
    <t>sonstige Betriebskosten pro Jahr</t>
  </si>
  <si>
    <t>Haushalt A</t>
  </si>
  <si>
    <t>Haushalt B</t>
  </si>
  <si>
    <t>Haushalt C</t>
  </si>
  <si>
    <t>Die Förderung bezieht sich auf die neue Bundesförderung für effiziente Gebäude (BEG) ab 01.01.2024</t>
  </si>
  <si>
    <t>Maximale förderfähige Summe</t>
  </si>
  <si>
    <t>Fördersatz</t>
  </si>
  <si>
    <t>Energiepreise Stand 2023 teilweise orientiert an den Preisdeckeln, ohne Preissteigerung</t>
  </si>
  <si>
    <t>Tragen Sie hier Ihre individuellen Werte ein  - Stand 02.01.2024</t>
  </si>
  <si>
    <t>Vollständige Tabelle mit allen Varianten  - Stand 02.01.2024</t>
  </si>
  <si>
    <t>Energiekennwert</t>
  </si>
  <si>
    <t>Wohnfläche</t>
  </si>
  <si>
    <t>m"</t>
  </si>
  <si>
    <t>m²</t>
  </si>
  <si>
    <t>Bewertung des Energiekennwerts:</t>
  </si>
  <si>
    <t>gut</t>
  </si>
  <si>
    <t>mittel</t>
  </si>
  <si>
    <t>schlecht</t>
  </si>
  <si>
    <t>bis mittel</t>
  </si>
  <si>
    <t>bis schlecht</t>
  </si>
  <si>
    <t>Bei dieser Variante können sich die Betriebskosten nach Erreichen von 30.000 Volllaststunden erhöhen (→ Seite 84 im Ratgeber).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</si>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</sst>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0.0"/>
    <numFmt numFmtId="172" formatCode="0.000"/>
    <numFmt numFmtId="173" formatCode="0.00\ &quot;kW&quot;"/>
    <numFmt numFmtId="174" formatCode="0.0000"/>
    <numFmt numFmtId="175" formatCode="0.0\ &quot;ct/kWh&quot;"/>
    <numFmt numFmtId="176" formatCode="0\ &quot;a&quot;"/>
    <numFmt numFmtId="177" formatCode="#,##0\ &quot;Liter/a&quot;"/>
    <numFmt numFmtId="178" formatCode="0\ &quot;m²&quot;"/>
  </numFmts>
  <fonts count="14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0" fillId="10" borderId="0" xfId="0" applyFill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1" fillId="10" borderId="6" xfId="0" applyFont="1" applyFill="1" applyBorder="1"/>
    <xf numFmtId="0" fontId="1" fillId="10" borderId="10" xfId="0" applyFont="1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0" xfId="0" applyFill="1" applyBorder="1"/>
    <xf numFmtId="0" fontId="1" fillId="0" borderId="1" xfId="0" applyFont="1" applyBorder="1"/>
    <xf numFmtId="164" fontId="0" fillId="0" borderId="1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Font="1" applyBorder="1"/>
    <xf numFmtId="0" fontId="1" fillId="0" borderId="13" xfId="0" applyFont="1" applyBorder="1"/>
    <xf numFmtId="164" fontId="0" fillId="0" borderId="13" xfId="0" applyNumberFormat="1" applyBorder="1"/>
    <xf numFmtId="164" fontId="0" fillId="10" borderId="16" xfId="0" applyNumberFormat="1" applyFill="1" applyBorder="1"/>
    <xf numFmtId="164" fontId="0" fillId="10" borderId="17" xfId="0" applyNumberFormat="1" applyFill="1" applyBorder="1"/>
    <xf numFmtId="164" fontId="1" fillId="10" borderId="16" xfId="0" applyNumberFormat="1" applyFont="1" applyFill="1" applyBorder="1"/>
    <xf numFmtId="164" fontId="1" fillId="10" borderId="17" xfId="0" applyNumberFormat="1" applyFont="1" applyFill="1" applyBorder="1"/>
    <xf numFmtId="0" fontId="1" fillId="0" borderId="16" xfId="0" applyFont="1" applyBorder="1"/>
    <xf numFmtId="165" fontId="0" fillId="0" borderId="16" xfId="0" applyNumberFormat="1" applyBorder="1"/>
    <xf numFmtId="0" fontId="1" fillId="0" borderId="2" xfId="0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7" fontId="0" fillId="0" borderId="13" xfId="0" applyNumberFormat="1" applyBorder="1"/>
    <xf numFmtId="168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6" fontId="0" fillId="10" borderId="18" xfId="0" applyNumberFormat="1" applyFill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7" fillId="0" borderId="21" xfId="0" applyFont="1" applyBorder="1"/>
    <xf numFmtId="0" fontId="3" fillId="0" borderId="0" xfId="0" applyFont="1"/>
    <xf numFmtId="0" fontId="0" fillId="0" borderId="22" xfId="0" applyBorder="1"/>
    <xf numFmtId="0" fontId="5" fillId="0" borderId="23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4" borderId="18" xfId="0" applyNumberFormat="1" applyFill="1" applyBorder="1"/>
    <xf numFmtId="166" fontId="0" fillId="5" borderId="19" xfId="0" applyNumberFormat="1" applyFill="1" applyBorder="1"/>
    <xf numFmtId="6" fontId="0" fillId="0" borderId="19" xfId="0" applyNumberFormat="1" applyBorder="1"/>
    <xf numFmtId="164" fontId="0" fillId="6" borderId="21" xfId="0" applyNumberFormat="1" applyFill="1" applyBorder="1"/>
    <xf numFmtId="9" fontId="0" fillId="7" borderId="0" xfId="0" applyNumberFormat="1" applyFill="1"/>
    <xf numFmtId="6" fontId="0" fillId="8" borderId="21" xfId="0" applyNumberFormat="1" applyFill="1" applyBorder="1"/>
    <xf numFmtId="9" fontId="0" fillId="9" borderId="0" xfId="0" applyNumberFormat="1" applyFill="1"/>
    <xf numFmtId="167" fontId="4" fillId="3" borderId="23" xfId="0" applyNumberFormat="1" applyFont="1" applyFill="1" applyBorder="1"/>
    <xf numFmtId="0" fontId="6" fillId="11" borderId="0" xfId="0" applyFont="1" applyFill="1"/>
    <xf numFmtId="169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3" fillId="10" borderId="2" xfId="0" applyFont="1" applyFill="1" applyBorder="1"/>
    <xf numFmtId="0" fontId="0" fillId="10" borderId="2" xfId="0" applyFill="1" applyBorder="1"/>
    <xf numFmtId="4" fontId="0" fillId="2" borderId="2" xfId="0" applyNumberFormat="1" applyFill="1" applyBorder="1" applyProtection="1">
      <protection locked="0"/>
    </xf>
    <xf numFmtId="0" fontId="8" fillId="10" borderId="12" xfId="0" applyFont="1" applyFill="1" applyBorder="1"/>
    <xf numFmtId="0" fontId="1" fillId="10" borderId="2" xfId="0" applyFont="1" applyFill="1" applyBorder="1"/>
    <xf numFmtId="170" fontId="0" fillId="2" borderId="11" xfId="0" applyNumberFormat="1" applyFill="1" applyBorder="1" applyProtection="1">
      <protection locked="0"/>
    </xf>
    <xf numFmtId="0" fontId="9" fillId="10" borderId="10" xfId="0" applyFont="1" applyFill="1" applyBorder="1"/>
    <xf numFmtId="0" fontId="8" fillId="10" borderId="10" xfId="0" applyFont="1" applyFill="1" applyBorder="1"/>
    <xf numFmtId="3" fontId="8" fillId="10" borderId="10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5" fontId="3" fillId="0" borderId="2" xfId="0" applyNumberFormat="1" applyFont="1" applyBorder="1"/>
    <xf numFmtId="164" fontId="3" fillId="0" borderId="2" xfId="0" applyNumberFormat="1" applyFont="1" applyBorder="1"/>
    <xf numFmtId="167" fontId="4" fillId="0" borderId="13" xfId="0" applyNumberFormat="1" applyFont="1" applyBorder="1"/>
    <xf numFmtId="0" fontId="10" fillId="0" borderId="0" xfId="0" applyFont="1"/>
    <xf numFmtId="0" fontId="1" fillId="0" borderId="26" xfId="0" applyFont="1" applyBorder="1"/>
    <xf numFmtId="164" fontId="0" fillId="0" borderId="26" xfId="0" applyNumberFormat="1" applyBorder="1"/>
    <xf numFmtId="164" fontId="0" fillId="2" borderId="2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1" fillId="0" borderId="27" xfId="0" applyFont="1" applyBorder="1"/>
    <xf numFmtId="164" fontId="0" fillId="0" borderId="27" xfId="0" applyNumberFormat="1" applyBorder="1"/>
    <xf numFmtId="0" fontId="1" fillId="10" borderId="26" xfId="0" applyFont="1" applyFill="1" applyBorder="1"/>
    <xf numFmtId="164" fontId="0" fillId="10" borderId="26" xfId="0" applyNumberFormat="1" applyFill="1" applyBorder="1"/>
    <xf numFmtId="164" fontId="0" fillId="10" borderId="2" xfId="0" applyNumberFormat="1" applyFill="1" applyBorder="1"/>
    <xf numFmtId="0" fontId="1" fillId="10" borderId="27" xfId="0" applyFont="1" applyFill="1" applyBorder="1"/>
    <xf numFmtId="164" fontId="0" fillId="10" borderId="27" xfId="0" applyNumberFormat="1" applyFill="1" applyBorder="1"/>
    <xf numFmtId="3" fontId="0" fillId="10" borderId="11" xfId="0" applyNumberFormat="1" applyFill="1" applyBorder="1"/>
    <xf numFmtId="171" fontId="8" fillId="10" borderId="10" xfId="0" applyNumberFormat="1" applyFont="1" applyFill="1" applyBorder="1"/>
    <xf numFmtId="164" fontId="0" fillId="0" borderId="14" xfId="0" applyNumberFormat="1" applyBorder="1"/>
    <xf numFmtId="172" fontId="0" fillId="10" borderId="11" xfId="0" applyNumberFormat="1" applyFill="1" applyBorder="1"/>
    <xf numFmtId="172" fontId="0" fillId="10" borderId="0" xfId="0" applyNumberFormat="1" applyFill="1"/>
    <xf numFmtId="0" fontId="3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8" fillId="10" borderId="0" xfId="0" applyFont="1" applyFill="1"/>
    <xf numFmtId="0" fontId="8" fillId="10" borderId="7" xfId="0" applyFont="1" applyFill="1" applyBorder="1"/>
    <xf numFmtId="172" fontId="8" fillId="10" borderId="10" xfId="0" applyNumberFormat="1" applyFont="1" applyFill="1" applyBorder="1"/>
    <xf numFmtId="165" fontId="0" fillId="0" borderId="0" xfId="0" applyNumberFormat="1"/>
    <xf numFmtId="0" fontId="11" fillId="0" borderId="0" xfId="0" applyFont="1"/>
    <xf numFmtId="0" fontId="12" fillId="0" borderId="0" xfId="0" applyFont="1"/>
    <xf numFmtId="165" fontId="0" fillId="0" borderId="26" xfId="0" applyNumberFormat="1" applyBorder="1"/>
    <xf numFmtId="1" fontId="0" fillId="0" borderId="0" xfId="0" applyNumberFormat="1"/>
    <xf numFmtId="2" fontId="0" fillId="0" borderId="0" xfId="0" applyNumberFormat="1"/>
    <xf numFmtId="174" fontId="0" fillId="0" borderId="0" xfId="0" applyNumberFormat="1"/>
    <xf numFmtId="0" fontId="0" fillId="0" borderId="28" xfId="0" applyBorder="1"/>
    <xf numFmtId="1" fontId="0" fillId="0" borderId="28" xfId="0" applyNumberFormat="1" applyBorder="1"/>
    <xf numFmtId="171" fontId="0" fillId="0" borderId="28" xfId="0" applyNumberFormat="1" applyBorder="1"/>
    <xf numFmtId="0" fontId="0" fillId="12" borderId="28" xfId="0" applyFill="1" applyBorder="1"/>
    <xf numFmtId="1" fontId="0" fillId="12" borderId="28" xfId="0" applyNumberFormat="1" applyFill="1" applyBorder="1"/>
    <xf numFmtId="172" fontId="0" fillId="12" borderId="28" xfId="0" applyNumberFormat="1" applyFill="1" applyBorder="1"/>
    <xf numFmtId="173" fontId="3" fillId="2" borderId="2" xfId="0" applyNumberFormat="1" applyFont="1" applyFill="1" applyBorder="1" applyAlignment="1" applyProtection="1">
      <alignment horizontal="right"/>
      <protection locked="0"/>
    </xf>
    <xf numFmtId="9" fontId="3" fillId="2" borderId="2" xfId="0" applyNumberFormat="1" applyFont="1" applyFill="1" applyBorder="1" applyAlignment="1" applyProtection="1">
      <alignment horizontal="right"/>
      <protection locked="0"/>
    </xf>
    <xf numFmtId="0" fontId="8" fillId="10" borderId="11" xfId="0" applyFont="1" applyFill="1" applyBorder="1"/>
    <xf numFmtId="0" fontId="3" fillId="10" borderId="11" xfId="0" applyFont="1" applyFill="1" applyBorder="1"/>
    <xf numFmtId="175" fontId="13" fillId="10" borderId="11" xfId="0" applyNumberFormat="1" applyFont="1" applyFill="1" applyBorder="1" applyAlignment="1">
      <alignment horizontal="left"/>
    </xf>
    <xf numFmtId="176" fontId="3" fillId="0" borderId="13" xfId="0" applyNumberFormat="1" applyFont="1" applyBorder="1"/>
    <xf numFmtId="0" fontId="1" fillId="11" borderId="18" xfId="0" applyFont="1" applyFill="1" applyBorder="1"/>
    <xf numFmtId="0" fontId="0" fillId="11" borderId="19" xfId="0" applyFill="1" applyBorder="1"/>
    <xf numFmtId="0" fontId="0" fillId="11" borderId="20" xfId="0" applyFill="1" applyBorder="1"/>
    <xf numFmtId="0" fontId="3" fillId="11" borderId="21" xfId="0" applyFont="1" applyFill="1" applyBorder="1"/>
    <xf numFmtId="0" fontId="0" fillId="11" borderId="0" xfId="0" applyFill="1"/>
    <xf numFmtId="0" fontId="0" fillId="11" borderId="22" xfId="0" applyFill="1" applyBorder="1"/>
    <xf numFmtId="0" fontId="3" fillId="11" borderId="23" xfId="0" applyFont="1" applyFill="1" applyBorder="1"/>
    <xf numFmtId="0" fontId="0" fillId="11" borderId="24" xfId="0" applyFill="1" applyBorder="1"/>
    <xf numFmtId="0" fontId="0" fillId="11" borderId="25" xfId="0" applyFill="1" applyBorder="1"/>
    <xf numFmtId="0" fontId="0" fillId="10" borderId="29" xfId="0" applyFill="1" applyBorder="1"/>
    <xf numFmtId="3" fontId="0" fillId="2" borderId="18" xfId="0" applyNumberFormat="1" applyFill="1" applyBorder="1"/>
    <xf numFmtId="0" fontId="1" fillId="10" borderId="29" xfId="0" applyFont="1" applyFill="1" applyBorder="1"/>
    <xf numFmtId="3" fontId="8" fillId="10" borderId="10" xfId="0" applyNumberFormat="1" applyFont="1" applyFill="1" applyBorder="1" applyAlignment="1">
      <alignment horizontal="center"/>
    </xf>
    <xf numFmtId="0" fontId="1" fillId="10" borderId="3" xfId="0" applyFont="1" applyFill="1" applyBorder="1"/>
    <xf numFmtId="3" fontId="0" fillId="10" borderId="4" xfId="0" applyNumberFormat="1" applyFill="1" applyBorder="1"/>
    <xf numFmtId="171" fontId="0" fillId="10" borderId="8" xfId="0" applyNumberFormat="1" applyFill="1" applyBorder="1"/>
    <xf numFmtId="172" fontId="0" fillId="10" borderId="8" xfId="0" applyNumberFormat="1" applyFill="1" applyBorder="1"/>
    <xf numFmtId="171" fontId="0" fillId="10" borderId="11" xfId="0" applyNumberFormat="1" applyFill="1" applyBorder="1"/>
    <xf numFmtId="0" fontId="1" fillId="13" borderId="2" xfId="0" applyFont="1" applyFill="1" applyBorder="1"/>
    <xf numFmtId="177" fontId="3" fillId="13" borderId="2" xfId="0" applyNumberFormat="1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165" fontId="3" fillId="13" borderId="2" xfId="0" applyNumberFormat="1" applyFont="1" applyFill="1" applyBorder="1" applyAlignment="1">
      <alignment horizontal="center"/>
    </xf>
    <xf numFmtId="173" fontId="3" fillId="13" borderId="2" xfId="0" applyNumberFormat="1" applyFont="1" applyFill="1" applyBorder="1" applyAlignment="1">
      <alignment horizontal="right"/>
    </xf>
    <xf numFmtId="9" fontId="3" fillId="13" borderId="2" xfId="0" applyNumberFormat="1" applyFont="1" applyFill="1" applyBorder="1" applyAlignment="1">
      <alignment horizontal="right"/>
    </xf>
    <xf numFmtId="0" fontId="0" fillId="15" borderId="0" xfId="0" applyFill="1"/>
    <xf numFmtId="0" fontId="0" fillId="3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3" borderId="0" xfId="0" applyFill="1"/>
    <xf numFmtId="178" fontId="3" fillId="13" borderId="2" xfId="0" applyNumberFormat="1" applyFont="1" applyFill="1" applyBorder="1" applyAlignment="1">
      <alignment horizontal="center"/>
    </xf>
    <xf numFmtId="0" fontId="1" fillId="0" borderId="30" xfId="0" applyFont="1" applyBorder="1"/>
    <xf numFmtId="49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46">
    <dxf>
      <font>
        <color rgb="FFFFC000"/>
      </font>
    </dxf>
    <dxf>
      <font>
        <color rgb="FFFFC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FFC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EFC16D"/>
        </patternFill>
      </fill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FF"/>
      <color rgb="FFFFFFAF"/>
      <color rgb="FFFFFF66"/>
      <color rgb="FFE1F0FF"/>
      <color rgb="FF69D8FF"/>
      <color rgb="FFC2E49C"/>
      <color rgb="FFB2DE82"/>
      <color rgb="FFA162D0"/>
      <color rgb="FFFF3F9F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Z78"/>
  <sheetViews>
    <sheetView showGridLines="0" tabSelected="1" zoomScale="91" zoomScaleNormal="91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20" s="2" customFormat="1" ht="23.25" x14ac:dyDescent="0.35">
      <c r="A1" s="7" t="s">
        <v>76</v>
      </c>
      <c r="B1" s="2" t="s">
        <v>77</v>
      </c>
    </row>
    <row r="2" spans="1:20" s="2" customFormat="1" ht="23.25" x14ac:dyDescent="0.35">
      <c r="A2" s="7"/>
      <c r="B2" s="8" t="s">
        <v>172</v>
      </c>
    </row>
    <row r="3" spans="1:20" s="2" customFormat="1" ht="23.25" x14ac:dyDescent="0.35">
      <c r="A3" s="7"/>
      <c r="B3" s="52" t="s">
        <v>167</v>
      </c>
      <c r="C3"/>
      <c r="D3"/>
      <c r="E3"/>
      <c r="F3"/>
    </row>
    <row r="4" spans="1:20" ht="24.95" customHeight="1" x14ac:dyDescent="0.2">
      <c r="B4" s="101" t="s">
        <v>170</v>
      </c>
      <c r="C4" s="102"/>
      <c r="D4" s="102"/>
      <c r="E4" s="102"/>
      <c r="F4" s="102"/>
    </row>
    <row r="5" spans="1:20" x14ac:dyDescent="0.2">
      <c r="A5" s="138"/>
      <c r="B5" s="139"/>
      <c r="C5" s="12"/>
      <c r="D5" s="11"/>
      <c r="E5" s="11"/>
      <c r="F5" s="11"/>
      <c r="G5" s="11"/>
      <c r="H5" s="138" t="s">
        <v>31</v>
      </c>
      <c r="I5" s="11"/>
      <c r="J5" s="12"/>
    </row>
    <row r="6" spans="1:20" x14ac:dyDescent="0.2">
      <c r="A6" s="18" t="s">
        <v>44</v>
      </c>
      <c r="B6" s="142">
        <v>1.4</v>
      </c>
      <c r="C6" s="20" t="s">
        <v>158</v>
      </c>
      <c r="D6" s="9"/>
      <c r="E6" s="9"/>
      <c r="F6" s="9"/>
      <c r="G6" s="9"/>
      <c r="H6" s="21" t="s">
        <v>45</v>
      </c>
      <c r="I6" s="99">
        <v>0.31</v>
      </c>
      <c r="J6" s="20" t="s">
        <v>35</v>
      </c>
    </row>
    <row r="7" spans="1:20" x14ac:dyDescent="0.2">
      <c r="A7" s="18" t="s">
        <v>21</v>
      </c>
      <c r="B7" s="142">
        <v>12</v>
      </c>
      <c r="C7" s="20" t="s">
        <v>23</v>
      </c>
      <c r="D7" s="9"/>
      <c r="E7" s="9"/>
      <c r="F7" s="9"/>
      <c r="G7" s="9"/>
      <c r="H7" s="21" t="s">
        <v>32</v>
      </c>
      <c r="I7" s="99">
        <v>0.24</v>
      </c>
      <c r="J7" s="20" t="s">
        <v>35</v>
      </c>
      <c r="K7" s="6"/>
      <c r="L7" s="5"/>
      <c r="M7" s="4"/>
      <c r="N7" s="5"/>
      <c r="O7" s="4"/>
      <c r="P7" s="5"/>
      <c r="Q7" s="4"/>
      <c r="R7" s="4"/>
    </row>
    <row r="8" spans="1:20" x14ac:dyDescent="0.2">
      <c r="A8" s="18" t="s">
        <v>74</v>
      </c>
      <c r="B8" s="142">
        <v>12</v>
      </c>
      <c r="C8" s="20" t="s">
        <v>23</v>
      </c>
      <c r="D8" s="9"/>
      <c r="E8" s="9"/>
      <c r="F8" s="9"/>
      <c r="G8" s="9"/>
      <c r="H8" s="21" t="s">
        <v>75</v>
      </c>
      <c r="I8" s="99">
        <v>0.152</v>
      </c>
      <c r="J8" s="20" t="s">
        <v>35</v>
      </c>
      <c r="K8" s="6"/>
      <c r="L8" s="5"/>
      <c r="M8" s="4"/>
      <c r="N8" s="5"/>
      <c r="O8" s="4"/>
      <c r="P8" s="5"/>
      <c r="Q8" s="4"/>
      <c r="R8" s="4"/>
    </row>
    <row r="9" spans="1:20" x14ac:dyDescent="0.2">
      <c r="A9" s="18" t="s">
        <v>22</v>
      </c>
      <c r="B9" s="142">
        <v>40</v>
      </c>
      <c r="C9" s="20" t="s">
        <v>23</v>
      </c>
      <c r="D9" s="9"/>
      <c r="E9" s="9"/>
      <c r="F9" s="9"/>
      <c r="G9" s="9"/>
      <c r="H9" s="21" t="s">
        <v>24</v>
      </c>
      <c r="I9" s="99">
        <v>0.56000000000000005</v>
      </c>
      <c r="J9" s="20" t="s">
        <v>35</v>
      </c>
      <c r="K9" s="6"/>
      <c r="L9" s="5"/>
      <c r="M9" s="4"/>
      <c r="N9" s="5"/>
      <c r="O9" s="4"/>
      <c r="P9" s="5"/>
      <c r="Q9" s="4"/>
      <c r="R9" s="4"/>
    </row>
    <row r="10" spans="1:20" x14ac:dyDescent="0.2">
      <c r="A10" s="18" t="s">
        <v>156</v>
      </c>
      <c r="B10" s="142">
        <v>14</v>
      </c>
      <c r="C10" s="20" t="s">
        <v>23</v>
      </c>
      <c r="D10" s="9"/>
      <c r="E10" s="9"/>
      <c r="F10" s="9"/>
      <c r="G10" s="9"/>
      <c r="H10" s="13"/>
      <c r="I10" s="100"/>
      <c r="J10" s="14"/>
      <c r="K10" s="6"/>
      <c r="L10" s="5"/>
      <c r="M10" s="4"/>
      <c r="N10" s="5"/>
      <c r="O10" s="4"/>
      <c r="P10" s="5"/>
      <c r="Q10" s="4"/>
      <c r="R10" s="4"/>
    </row>
    <row r="11" spans="1:20" x14ac:dyDescent="0.2">
      <c r="A11" s="18" t="s">
        <v>126</v>
      </c>
      <c r="B11" s="142">
        <v>4</v>
      </c>
      <c r="C11" s="20" t="s">
        <v>23</v>
      </c>
      <c r="D11" s="9"/>
      <c r="E11" s="9"/>
      <c r="F11" s="9"/>
      <c r="G11" s="9"/>
      <c r="H11" s="13"/>
      <c r="I11" s="100"/>
      <c r="J11" s="14"/>
      <c r="K11" s="6"/>
      <c r="L11" s="5"/>
      <c r="M11" s="4"/>
      <c r="N11" s="5"/>
      <c r="O11" s="4"/>
      <c r="P11" s="5"/>
      <c r="Q11" s="4"/>
      <c r="R11" s="4"/>
    </row>
    <row r="12" spans="1:20" x14ac:dyDescent="0.2">
      <c r="A12" s="136"/>
      <c r="B12" s="140"/>
      <c r="C12" s="16"/>
      <c r="D12" s="15"/>
      <c r="E12" s="15"/>
      <c r="F12" s="15"/>
      <c r="G12" s="15"/>
      <c r="H12" s="134"/>
      <c r="I12" s="141"/>
      <c r="J12" s="16"/>
      <c r="K12" s="6"/>
      <c r="L12" s="5"/>
      <c r="M12" s="4"/>
      <c r="N12" s="5"/>
      <c r="O12" s="4"/>
      <c r="P12" s="5"/>
      <c r="Q12" s="4"/>
      <c r="R12" s="5"/>
      <c r="S12" s="4"/>
      <c r="T12" s="4"/>
    </row>
    <row r="13" spans="1:20" x14ac:dyDescent="0.2">
      <c r="A13" s="1"/>
      <c r="K13" s="3"/>
      <c r="L13" s="6"/>
      <c r="M13" s="6"/>
      <c r="N13" s="5"/>
      <c r="O13" s="4"/>
      <c r="P13" s="5"/>
      <c r="Q13" s="4"/>
      <c r="R13" s="4"/>
    </row>
    <row r="14" spans="1:20" s="1" customFormat="1" x14ac:dyDescent="0.2">
      <c r="A14"/>
      <c r="B14" s="3"/>
      <c r="C14" s="3"/>
      <c r="D14" s="6"/>
      <c r="E14" s="6"/>
      <c r="F14" s="3"/>
      <c r="G14" s="3"/>
      <c r="H14" s="3"/>
      <c r="I14" s="3"/>
      <c r="J14" s="6"/>
      <c r="K14" s="6"/>
      <c r="L14" s="5"/>
      <c r="M14" s="4"/>
    </row>
    <row r="15" spans="1:20" s="1" customFormat="1" x14ac:dyDescent="0.2">
      <c r="A15" s="24" t="s">
        <v>0</v>
      </c>
      <c r="B15" s="25" t="s">
        <v>37</v>
      </c>
      <c r="C15" s="27" t="s">
        <v>41</v>
      </c>
      <c r="D15" s="27" t="s">
        <v>42</v>
      </c>
      <c r="E15" s="27" t="s">
        <v>155</v>
      </c>
      <c r="F15" s="26" t="s">
        <v>37</v>
      </c>
      <c r="G15" s="26" t="s">
        <v>41</v>
      </c>
      <c r="H15" s="25" t="s">
        <v>42</v>
      </c>
      <c r="I15" s="25" t="s">
        <v>155</v>
      </c>
      <c r="J15" s="26" t="s">
        <v>37</v>
      </c>
      <c r="K15" s="26" t="s">
        <v>41</v>
      </c>
      <c r="L15" s="25" t="s">
        <v>42</v>
      </c>
      <c r="M15" s="25" t="s">
        <v>155</v>
      </c>
    </row>
    <row r="16" spans="1:20" s="1" customFormat="1" x14ac:dyDescent="0.2">
      <c r="A16" s="22"/>
      <c r="B16" s="22" t="s">
        <v>164</v>
      </c>
      <c r="C16" s="22" t="s">
        <v>16</v>
      </c>
      <c r="D16" s="22" t="s">
        <v>16</v>
      </c>
      <c r="E16" s="22" t="s">
        <v>16</v>
      </c>
      <c r="F16" s="22" t="s">
        <v>165</v>
      </c>
      <c r="G16" s="22" t="s">
        <v>16</v>
      </c>
      <c r="H16" s="22" t="s">
        <v>16</v>
      </c>
      <c r="I16" s="22" t="s">
        <v>16</v>
      </c>
      <c r="J16" s="22" t="s">
        <v>166</v>
      </c>
      <c r="K16" s="22" t="s">
        <v>16</v>
      </c>
      <c r="L16" s="22" t="s">
        <v>16</v>
      </c>
      <c r="M16" s="22" t="s">
        <v>16</v>
      </c>
    </row>
    <row r="17" spans="1:52" s="1" customFormat="1" x14ac:dyDescent="0.2">
      <c r="A17" s="22"/>
      <c r="B17" s="22"/>
      <c r="C17" s="22" t="s">
        <v>43</v>
      </c>
      <c r="D17" s="22" t="s">
        <v>43</v>
      </c>
      <c r="E17" s="22" t="s">
        <v>17</v>
      </c>
      <c r="F17" s="22"/>
      <c r="G17" s="22" t="s">
        <v>43</v>
      </c>
      <c r="H17" s="22" t="s">
        <v>43</v>
      </c>
      <c r="I17" s="22" t="s">
        <v>17</v>
      </c>
      <c r="J17" s="22"/>
      <c r="K17" s="22" t="s">
        <v>43</v>
      </c>
      <c r="L17" s="22" t="s">
        <v>43</v>
      </c>
      <c r="M17" s="22" t="s">
        <v>17</v>
      </c>
    </row>
    <row r="18" spans="1:52" s="1" customFormat="1" x14ac:dyDescent="0.2">
      <c r="A18" s="22"/>
      <c r="B18" s="22"/>
      <c r="C18" s="22"/>
      <c r="D18" s="22" t="s">
        <v>128</v>
      </c>
      <c r="E18" s="22"/>
      <c r="F18" s="22"/>
      <c r="G18" s="22"/>
      <c r="H18" s="22" t="s">
        <v>128</v>
      </c>
      <c r="I18" s="22"/>
      <c r="J18" s="22"/>
      <c r="K18" s="22"/>
      <c r="L18" s="22" t="s">
        <v>128</v>
      </c>
      <c r="M18" s="22"/>
    </row>
    <row r="19" spans="1:52" s="1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52" s="1" customForma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52" s="1" customForma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s="1" customFormat="1" x14ac:dyDescent="0.2">
      <c r="A22" s="143" t="s">
        <v>61</v>
      </c>
      <c r="B22" s="144">
        <v>2500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s="1" customFormat="1" x14ac:dyDescent="0.2">
      <c r="A23" s="143" t="s">
        <v>132</v>
      </c>
      <c r="B23" s="145"/>
      <c r="C23" s="145"/>
      <c r="D23" s="145"/>
      <c r="E23" s="145"/>
      <c r="F23" s="146">
        <v>15000</v>
      </c>
      <c r="G23" s="145"/>
      <c r="H23" s="145"/>
      <c r="I23" s="145"/>
      <c r="J23" s="146">
        <v>5500</v>
      </c>
      <c r="K23" s="145"/>
      <c r="L23" s="145"/>
      <c r="M23" s="145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s="1" customFormat="1" x14ac:dyDescent="0.2">
      <c r="A24" s="143" t="s">
        <v>174</v>
      </c>
      <c r="B24" s="156">
        <v>120</v>
      </c>
      <c r="C24" s="156">
        <v>120</v>
      </c>
      <c r="D24" s="156">
        <v>120</v>
      </c>
      <c r="E24" s="156">
        <v>120</v>
      </c>
      <c r="F24" s="156">
        <v>140</v>
      </c>
      <c r="G24" s="156">
        <v>140</v>
      </c>
      <c r="H24" s="156">
        <v>140</v>
      </c>
      <c r="I24" s="156">
        <v>140</v>
      </c>
      <c r="J24" s="156">
        <v>120</v>
      </c>
      <c r="K24" s="156">
        <v>120</v>
      </c>
      <c r="L24" s="156">
        <v>120</v>
      </c>
      <c r="M24" s="156">
        <v>120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s="1" customFormat="1" x14ac:dyDescent="0.2">
      <c r="A25" s="143" t="s">
        <v>81</v>
      </c>
      <c r="B25" s="145"/>
      <c r="C25" s="147">
        <v>5.5</v>
      </c>
      <c r="D25" s="147">
        <v>3</v>
      </c>
      <c r="E25" s="147">
        <v>0.7</v>
      </c>
      <c r="F25" s="145"/>
      <c r="G25" s="147">
        <v>5.5</v>
      </c>
      <c r="H25" s="147">
        <v>3</v>
      </c>
      <c r="I25" s="147">
        <v>0.7</v>
      </c>
      <c r="J25" s="145"/>
      <c r="K25" s="147">
        <v>5.5</v>
      </c>
      <c r="L25" s="147">
        <v>3</v>
      </c>
      <c r="M25" s="147">
        <v>0.7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s="1" customFormat="1" x14ac:dyDescent="0.2">
      <c r="A26" s="143" t="s">
        <v>82</v>
      </c>
      <c r="B26" s="145"/>
      <c r="C26" s="147">
        <v>12.8</v>
      </c>
      <c r="D26" s="147">
        <v>8</v>
      </c>
      <c r="E26" s="147">
        <v>1</v>
      </c>
      <c r="F26" s="145"/>
      <c r="G26" s="147">
        <v>12.8</v>
      </c>
      <c r="H26" s="147">
        <v>8</v>
      </c>
      <c r="I26" s="147">
        <v>1</v>
      </c>
      <c r="J26" s="145"/>
      <c r="K26" s="147">
        <v>12.8</v>
      </c>
      <c r="L26" s="147">
        <v>8</v>
      </c>
      <c r="M26" s="147">
        <v>1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s="1" customFormat="1" x14ac:dyDescent="0.2">
      <c r="A27" s="143" t="s">
        <v>83</v>
      </c>
      <c r="B27" s="145"/>
      <c r="C27" s="148">
        <v>0.9</v>
      </c>
      <c r="D27" s="148">
        <v>0.9</v>
      </c>
      <c r="E27" s="148">
        <v>0.85</v>
      </c>
      <c r="F27" s="145"/>
      <c r="G27" s="148">
        <v>0.9</v>
      </c>
      <c r="H27" s="148">
        <v>0.9</v>
      </c>
      <c r="I27" s="148">
        <v>0.85</v>
      </c>
      <c r="J27" s="145"/>
      <c r="K27" s="148">
        <v>0.9</v>
      </c>
      <c r="L27" s="148">
        <v>0.9</v>
      </c>
      <c r="M27" s="148">
        <v>0.85</v>
      </c>
    </row>
    <row r="28" spans="1:52" s="1" customFormat="1" x14ac:dyDescent="0.2">
      <c r="A28" s="91" t="s">
        <v>7</v>
      </c>
      <c r="B28" s="92"/>
      <c r="C28" s="92">
        <v>35000</v>
      </c>
      <c r="D28" s="92">
        <v>35000</v>
      </c>
      <c r="E28" s="92">
        <v>42000</v>
      </c>
      <c r="F28" s="92"/>
      <c r="G28" s="92">
        <v>35000</v>
      </c>
      <c r="H28" s="92">
        <v>35000</v>
      </c>
      <c r="I28" s="92">
        <v>42000</v>
      </c>
      <c r="J28" s="92"/>
      <c r="K28" s="92">
        <v>35000</v>
      </c>
      <c r="L28" s="92">
        <v>35000</v>
      </c>
      <c r="M28" s="92">
        <v>42000</v>
      </c>
    </row>
    <row r="29" spans="1:52" s="1" customFormat="1" x14ac:dyDescent="0.2">
      <c r="A29" s="73" t="s">
        <v>40</v>
      </c>
      <c r="B29" s="93"/>
      <c r="C29" s="93">
        <v>-9330</v>
      </c>
      <c r="D29" s="93">
        <v>-9330</v>
      </c>
      <c r="E29" s="93">
        <v>-9330</v>
      </c>
      <c r="F29" s="93"/>
      <c r="G29" s="93">
        <v>-8000</v>
      </c>
      <c r="H29" s="93">
        <v>-8000</v>
      </c>
      <c r="I29" s="93">
        <v>-8000</v>
      </c>
      <c r="J29" s="93"/>
      <c r="K29" s="93">
        <v>-6000</v>
      </c>
      <c r="L29" s="93">
        <v>-6000</v>
      </c>
      <c r="M29" s="93">
        <v>-6000</v>
      </c>
    </row>
    <row r="30" spans="1:52" s="1" customFormat="1" x14ac:dyDescent="0.2">
      <c r="A30" s="73" t="s">
        <v>38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52" s="1" customFormat="1" x14ac:dyDescent="0.2">
      <c r="A31" s="73" t="s">
        <v>39</v>
      </c>
      <c r="B31" s="93"/>
      <c r="C31" s="93">
        <v>2000</v>
      </c>
      <c r="D31" s="93">
        <v>2000</v>
      </c>
      <c r="E31" s="93">
        <v>2000</v>
      </c>
      <c r="F31" s="93"/>
      <c r="G31" s="93">
        <v>2000</v>
      </c>
      <c r="H31" s="93">
        <v>2000</v>
      </c>
      <c r="I31" s="93">
        <v>2000</v>
      </c>
      <c r="J31" s="93"/>
      <c r="K31" s="93">
        <v>2000</v>
      </c>
      <c r="L31" s="93">
        <v>2000</v>
      </c>
      <c r="M31" s="93">
        <v>2000</v>
      </c>
    </row>
    <row r="32" spans="1:52" s="1" customFormat="1" x14ac:dyDescent="0.2">
      <c r="A32" s="73" t="s">
        <v>6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1:13" s="1" customFormat="1" x14ac:dyDescent="0.2">
      <c r="A33" s="73" t="s">
        <v>11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 s="1" customFormat="1" x14ac:dyDescent="0.2">
      <c r="A34" s="73" t="s">
        <v>8</v>
      </c>
      <c r="B34" s="93"/>
      <c r="C34" s="93">
        <v>1000</v>
      </c>
      <c r="D34" s="93">
        <v>1000</v>
      </c>
      <c r="E34" s="93">
        <v>1000</v>
      </c>
      <c r="F34" s="93"/>
      <c r="G34" s="93">
        <v>1000</v>
      </c>
      <c r="H34" s="93">
        <v>1000</v>
      </c>
      <c r="I34" s="93">
        <v>1000</v>
      </c>
      <c r="J34" s="93"/>
      <c r="K34" s="93">
        <v>1000</v>
      </c>
      <c r="L34" s="93">
        <v>1000</v>
      </c>
      <c r="M34" s="93">
        <v>1000</v>
      </c>
    </row>
    <row r="35" spans="1:13" s="1" customFormat="1" x14ac:dyDescent="0.2">
      <c r="A35" s="73" t="s">
        <v>9</v>
      </c>
      <c r="B35" s="93"/>
      <c r="C35" s="93">
        <v>2000</v>
      </c>
      <c r="D35" s="93">
        <v>2000</v>
      </c>
      <c r="E35" s="93">
        <v>2000</v>
      </c>
      <c r="F35" s="93"/>
      <c r="G35" s="93">
        <v>0</v>
      </c>
      <c r="H35" s="93">
        <v>0</v>
      </c>
      <c r="I35" s="93">
        <v>0</v>
      </c>
      <c r="J35" s="93"/>
      <c r="K35" s="93">
        <v>0</v>
      </c>
      <c r="L35" s="93">
        <v>0</v>
      </c>
      <c r="M35" s="93">
        <v>0</v>
      </c>
    </row>
    <row r="36" spans="1:13" s="1" customFormat="1" x14ac:dyDescent="0.2">
      <c r="A36" s="73" t="s">
        <v>10</v>
      </c>
      <c r="B36" s="93"/>
      <c r="C36" s="93">
        <v>1500</v>
      </c>
      <c r="D36" s="93">
        <v>1500</v>
      </c>
      <c r="E36" s="93">
        <v>1500</v>
      </c>
      <c r="F36" s="93"/>
      <c r="G36" s="93">
        <v>1500</v>
      </c>
      <c r="H36" s="93">
        <v>1500</v>
      </c>
      <c r="I36" s="93">
        <v>1500</v>
      </c>
      <c r="J36" s="93"/>
      <c r="K36" s="93">
        <v>1500</v>
      </c>
      <c r="L36" s="93">
        <v>1500</v>
      </c>
      <c r="M36" s="93">
        <v>1500</v>
      </c>
    </row>
    <row r="37" spans="1:13" x14ac:dyDescent="0.2">
      <c r="A37" s="94" t="s">
        <v>12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</row>
    <row r="38" spans="1:13" x14ac:dyDescent="0.2">
      <c r="A38" s="29" t="s">
        <v>1</v>
      </c>
      <c r="B38" s="30">
        <f>SUM(B28:B37)</f>
        <v>0</v>
      </c>
      <c r="C38" s="30">
        <f t="shared" ref="C38:M38" si="0">SUM(C28:C37)</f>
        <v>32170</v>
      </c>
      <c r="D38" s="30">
        <f t="shared" ref="D38" si="1">SUM(D28:D37)</f>
        <v>32170</v>
      </c>
      <c r="E38" s="30">
        <f t="shared" si="0"/>
        <v>39170</v>
      </c>
      <c r="F38" s="30">
        <v>0</v>
      </c>
      <c r="G38" s="30">
        <f>SUM(G28:G36)</f>
        <v>31500</v>
      </c>
      <c r="H38" s="30">
        <f t="shared" ref="H38:I38" si="2">SUM(H28:H36)</f>
        <v>31500</v>
      </c>
      <c r="I38" s="30">
        <f t="shared" si="2"/>
        <v>38500</v>
      </c>
      <c r="J38" s="30">
        <f t="shared" si="0"/>
        <v>0</v>
      </c>
      <c r="K38" s="30">
        <f t="shared" si="0"/>
        <v>33500</v>
      </c>
      <c r="L38" s="30">
        <f t="shared" si="0"/>
        <v>33500</v>
      </c>
      <c r="M38" s="30">
        <f t="shared" si="0"/>
        <v>40500</v>
      </c>
    </row>
    <row r="39" spans="1:13" x14ac:dyDescent="0.2">
      <c r="A39" s="24" t="s">
        <v>69</v>
      </c>
      <c r="B39" s="98"/>
      <c r="C39" s="98"/>
      <c r="D39" s="98"/>
      <c r="E39" s="98">
        <v>30000</v>
      </c>
      <c r="F39" s="98"/>
      <c r="G39" s="98"/>
      <c r="H39" s="98"/>
      <c r="I39" s="98">
        <v>30000</v>
      </c>
      <c r="J39" s="98"/>
      <c r="K39" s="98">
        <f>IF(K32&gt;60000,60000,K32)</f>
        <v>0</v>
      </c>
      <c r="L39" s="98">
        <f>IF(L32&gt;60000,60000,L32)</f>
        <v>0</v>
      </c>
      <c r="M39" s="98">
        <v>0</v>
      </c>
    </row>
    <row r="40" spans="1:13" x14ac:dyDescent="0.2">
      <c r="A40" s="24" t="s">
        <v>70</v>
      </c>
      <c r="B40" s="98"/>
      <c r="C40" s="98"/>
      <c r="D40" s="98"/>
      <c r="E40" s="98">
        <v>21000</v>
      </c>
      <c r="F40" s="98"/>
      <c r="G40" s="98"/>
      <c r="H40" s="98"/>
      <c r="I40" s="98">
        <v>21000</v>
      </c>
      <c r="J40" s="98"/>
      <c r="K40" s="98">
        <f>0.25*K39</f>
        <v>0</v>
      </c>
      <c r="L40" s="98">
        <f>0.25*L39</f>
        <v>0</v>
      </c>
      <c r="M40" s="98">
        <v>0</v>
      </c>
    </row>
    <row r="41" spans="1:13" x14ac:dyDescent="0.2">
      <c r="A41" s="24" t="s">
        <v>71</v>
      </c>
      <c r="B41" s="98"/>
      <c r="C41" s="98"/>
      <c r="D41" s="98"/>
      <c r="E41" s="98">
        <v>0</v>
      </c>
      <c r="F41" s="98"/>
      <c r="G41" s="98"/>
      <c r="H41" s="98"/>
      <c r="I41" s="98">
        <v>0</v>
      </c>
      <c r="J41" s="98"/>
      <c r="K41" s="98"/>
      <c r="L41" s="98"/>
      <c r="M41" s="98">
        <v>1680</v>
      </c>
    </row>
    <row r="42" spans="1:13" x14ac:dyDescent="0.2">
      <c r="A42" s="33" t="s">
        <v>5</v>
      </c>
      <c r="B42" s="31"/>
      <c r="C42" s="31">
        <f t="shared" ref="C42:M42" si="3">C40+C41</f>
        <v>0</v>
      </c>
      <c r="D42" s="31">
        <f t="shared" ref="D42" si="4">D40+D41</f>
        <v>0</v>
      </c>
      <c r="E42" s="31">
        <f t="shared" si="3"/>
        <v>21000</v>
      </c>
      <c r="F42" s="31"/>
      <c r="G42" s="31">
        <v>0</v>
      </c>
      <c r="H42" s="31">
        <f t="shared" si="3"/>
        <v>0</v>
      </c>
      <c r="I42" s="31">
        <f t="shared" si="3"/>
        <v>21000</v>
      </c>
      <c r="J42" s="31"/>
      <c r="K42" s="31">
        <f t="shared" si="3"/>
        <v>0</v>
      </c>
      <c r="L42" s="31">
        <f t="shared" si="3"/>
        <v>0</v>
      </c>
      <c r="M42" s="31">
        <f t="shared" si="3"/>
        <v>1680</v>
      </c>
    </row>
    <row r="43" spans="1:13" x14ac:dyDescent="0.2">
      <c r="A43" s="22" t="s">
        <v>13</v>
      </c>
      <c r="B43" s="23">
        <f t="shared" ref="B43" si="5">B38-B42</f>
        <v>0</v>
      </c>
      <c r="C43" s="23">
        <f t="shared" ref="C43:M43" si="6">C38-C42</f>
        <v>32170</v>
      </c>
      <c r="D43" s="23">
        <f t="shared" ref="D43" si="7">D38-D42</f>
        <v>32170</v>
      </c>
      <c r="E43" s="23">
        <f t="shared" si="6"/>
        <v>18170</v>
      </c>
      <c r="F43" s="23">
        <v>0</v>
      </c>
      <c r="G43" s="23">
        <f>G38-G42</f>
        <v>31500</v>
      </c>
      <c r="H43" s="23">
        <f t="shared" si="6"/>
        <v>31500</v>
      </c>
      <c r="I43" s="23">
        <f t="shared" si="6"/>
        <v>17500</v>
      </c>
      <c r="J43" s="23">
        <f t="shared" si="6"/>
        <v>0</v>
      </c>
      <c r="K43" s="23">
        <f t="shared" si="6"/>
        <v>33500</v>
      </c>
      <c r="L43" s="23">
        <f t="shared" si="6"/>
        <v>33500</v>
      </c>
      <c r="M43" s="23">
        <f t="shared" si="6"/>
        <v>38820</v>
      </c>
    </row>
    <row r="44" spans="1:13" x14ac:dyDescent="0.2">
      <c r="A44" s="29" t="s">
        <v>52</v>
      </c>
      <c r="B44" s="30">
        <v>0</v>
      </c>
      <c r="C44" s="30">
        <f t="shared" ref="C44:I44" si="8">C43-$B$43</f>
        <v>32170</v>
      </c>
      <c r="D44" s="30">
        <f t="shared" si="8"/>
        <v>32170</v>
      </c>
      <c r="E44" s="30">
        <f t="shared" si="8"/>
        <v>18170</v>
      </c>
      <c r="F44" s="30">
        <f t="shared" si="8"/>
        <v>0</v>
      </c>
      <c r="G44" s="30">
        <f>G43</f>
        <v>31500</v>
      </c>
      <c r="H44" s="30">
        <f t="shared" si="8"/>
        <v>31500</v>
      </c>
      <c r="I44" s="30">
        <f t="shared" si="8"/>
        <v>17500</v>
      </c>
      <c r="J44" s="30">
        <f>J43-$B$38</f>
        <v>0</v>
      </c>
      <c r="K44" s="30">
        <f>K43-$B$43</f>
        <v>33500</v>
      </c>
      <c r="L44" s="30">
        <f>L43-$B$43</f>
        <v>33500</v>
      </c>
      <c r="M44" s="30">
        <f>M43-$B$43</f>
        <v>38820</v>
      </c>
    </row>
    <row r="45" spans="1:13" x14ac:dyDescent="0.2">
      <c r="A45" s="35" t="s">
        <v>79</v>
      </c>
      <c r="B45" s="36">
        <v>17520</v>
      </c>
      <c r="C45" s="36">
        <f>B45</f>
        <v>17520</v>
      </c>
      <c r="D45" s="36">
        <f>C45</f>
        <v>17520</v>
      </c>
      <c r="E45" s="36">
        <f>D45</f>
        <v>17520</v>
      </c>
      <c r="F45" s="36">
        <v>9900</v>
      </c>
      <c r="G45" s="36">
        <f>F45</f>
        <v>9900</v>
      </c>
      <c r="H45" s="36">
        <f>G45</f>
        <v>9900</v>
      </c>
      <c r="I45" s="36">
        <f>H45</f>
        <v>9900</v>
      </c>
      <c r="J45" s="36">
        <v>1800</v>
      </c>
      <c r="K45" s="36">
        <v>1800</v>
      </c>
      <c r="L45" s="36">
        <v>1800</v>
      </c>
      <c r="M45" s="36">
        <v>1800</v>
      </c>
    </row>
    <row r="46" spans="1:13" x14ac:dyDescent="0.2">
      <c r="A46" s="85" t="s">
        <v>80</v>
      </c>
      <c r="B46" s="109">
        <v>1600</v>
      </c>
      <c r="C46" s="109">
        <v>1600</v>
      </c>
      <c r="D46" s="109">
        <v>1600</v>
      </c>
      <c r="E46" s="109">
        <v>1600</v>
      </c>
      <c r="F46" s="109">
        <v>3200</v>
      </c>
      <c r="G46" s="109">
        <v>3200</v>
      </c>
      <c r="H46" s="109">
        <v>3200</v>
      </c>
      <c r="I46" s="109">
        <v>3200</v>
      </c>
      <c r="J46" s="109">
        <v>3200</v>
      </c>
      <c r="K46" s="109">
        <v>3200</v>
      </c>
      <c r="L46" s="109">
        <v>3200</v>
      </c>
      <c r="M46" s="109">
        <v>3200</v>
      </c>
    </row>
    <row r="47" spans="1:13" x14ac:dyDescent="0.2">
      <c r="A47" s="37" t="s">
        <v>141</v>
      </c>
      <c r="B47" s="38"/>
      <c r="C47" s="38">
        <v>30370</v>
      </c>
      <c r="D47" s="38">
        <v>21990</v>
      </c>
      <c r="E47" s="38"/>
      <c r="F47" s="38"/>
      <c r="G47" s="38">
        <v>20810</v>
      </c>
      <c r="H47" s="38">
        <v>15720</v>
      </c>
      <c r="I47" s="38"/>
      <c r="J47" s="38"/>
      <c r="K47" s="38">
        <v>7940</v>
      </c>
      <c r="L47" s="38">
        <v>7640</v>
      </c>
      <c r="M47" s="38"/>
    </row>
    <row r="48" spans="1:13" x14ac:dyDescent="0.2">
      <c r="A48" s="37" t="s">
        <v>142</v>
      </c>
      <c r="B48" s="38"/>
      <c r="C48" s="38">
        <v>0</v>
      </c>
      <c r="D48" s="38">
        <v>0</v>
      </c>
      <c r="E48" s="38">
        <v>21090</v>
      </c>
      <c r="F48" s="38"/>
      <c r="G48" s="38"/>
      <c r="H48" s="38"/>
      <c r="I48" s="38">
        <v>14860</v>
      </c>
      <c r="J48" s="38"/>
      <c r="K48" s="38"/>
      <c r="L48" s="38"/>
      <c r="M48" s="38">
        <v>7390</v>
      </c>
    </row>
    <row r="49" spans="1:13" x14ac:dyDescent="0.2">
      <c r="A49" s="37" t="s">
        <v>51</v>
      </c>
      <c r="B49" s="38">
        <v>4000</v>
      </c>
      <c r="C49" s="38">
        <v>4000</v>
      </c>
      <c r="D49" s="38">
        <f>C49</f>
        <v>4000</v>
      </c>
      <c r="E49" s="38">
        <v>4000</v>
      </c>
      <c r="F49" s="38">
        <v>3000</v>
      </c>
      <c r="G49" s="38">
        <v>3000</v>
      </c>
      <c r="H49" s="38">
        <v>3000</v>
      </c>
      <c r="I49" s="38">
        <v>3000</v>
      </c>
      <c r="J49" s="38">
        <v>3000</v>
      </c>
      <c r="K49" s="38">
        <v>3000</v>
      </c>
      <c r="L49" s="38">
        <v>3000</v>
      </c>
      <c r="M49" s="38">
        <v>3000</v>
      </c>
    </row>
    <row r="50" spans="1:13" x14ac:dyDescent="0.2">
      <c r="A50" s="37" t="s">
        <v>20</v>
      </c>
      <c r="B50" s="38">
        <f>10.6*B22+B49</f>
        <v>30500</v>
      </c>
      <c r="C50" s="38">
        <v>30370</v>
      </c>
      <c r="D50" s="38">
        <v>21990</v>
      </c>
      <c r="E50" s="38">
        <v>21090</v>
      </c>
      <c r="F50" s="38">
        <v>18000</v>
      </c>
      <c r="G50" s="38">
        <v>20810</v>
      </c>
      <c r="H50" s="38">
        <v>15720</v>
      </c>
      <c r="I50" s="38">
        <v>14860</v>
      </c>
      <c r="J50" s="38">
        <v>8500</v>
      </c>
      <c r="K50" s="38">
        <v>7940</v>
      </c>
      <c r="L50" s="38">
        <v>7640</v>
      </c>
      <c r="M50" s="38">
        <v>7390</v>
      </c>
    </row>
    <row r="51" spans="1:13" x14ac:dyDescent="0.2">
      <c r="A51" s="37" t="s">
        <v>46</v>
      </c>
      <c r="B51" s="39">
        <f>10*ROUND((100*B22*$B$6+B49*$B$9)/1000,0)</f>
        <v>5100</v>
      </c>
      <c r="C51" s="39">
        <v>5240</v>
      </c>
      <c r="D51" s="39">
        <v>4240</v>
      </c>
      <c r="E51" s="39">
        <v>4130</v>
      </c>
      <c r="F51" s="39">
        <v>3000</v>
      </c>
      <c r="G51" s="39">
        <v>3700</v>
      </c>
      <c r="H51" s="39">
        <v>3090</v>
      </c>
      <c r="I51" s="39">
        <v>2980</v>
      </c>
      <c r="J51" s="39">
        <v>1860</v>
      </c>
      <c r="K51" s="39">
        <v>2150</v>
      </c>
      <c r="L51" s="39">
        <v>2120</v>
      </c>
      <c r="M51" s="39">
        <v>2090</v>
      </c>
    </row>
    <row r="52" spans="1:13" x14ac:dyDescent="0.2">
      <c r="A52" s="37" t="s">
        <v>47</v>
      </c>
      <c r="B52" s="38">
        <v>0</v>
      </c>
      <c r="C52" s="38">
        <v>8220</v>
      </c>
      <c r="D52" s="38">
        <v>2990</v>
      </c>
      <c r="E52" s="38">
        <v>2350</v>
      </c>
      <c r="F52" s="38">
        <v>0</v>
      </c>
      <c r="G52" s="38">
        <v>5630</v>
      </c>
      <c r="H52" s="38">
        <v>2410</v>
      </c>
      <c r="I52" s="38">
        <v>1760</v>
      </c>
      <c r="J52" s="38">
        <v>0</v>
      </c>
      <c r="K52" s="38">
        <v>2150</v>
      </c>
      <c r="L52" s="38">
        <v>1880</v>
      </c>
      <c r="M52" s="38">
        <v>1760</v>
      </c>
    </row>
    <row r="53" spans="1:13" x14ac:dyDescent="0.2">
      <c r="A53" s="37" t="s">
        <v>53</v>
      </c>
      <c r="B53" s="38">
        <v>0</v>
      </c>
      <c r="C53" s="38">
        <v>2920</v>
      </c>
      <c r="D53" s="38">
        <v>2990</v>
      </c>
      <c r="E53" s="38">
        <v>2350</v>
      </c>
      <c r="F53" s="38">
        <v>0</v>
      </c>
      <c r="G53" s="38">
        <v>2290</v>
      </c>
      <c r="H53" s="38">
        <v>2410</v>
      </c>
      <c r="I53" s="38">
        <v>1760</v>
      </c>
      <c r="J53" s="38">
        <v>0</v>
      </c>
      <c r="K53" s="38">
        <v>1130</v>
      </c>
      <c r="L53" s="38">
        <v>1880</v>
      </c>
      <c r="M53" s="38">
        <v>1760</v>
      </c>
    </row>
    <row r="54" spans="1:13" x14ac:dyDescent="0.2">
      <c r="A54" s="37" t="s">
        <v>48</v>
      </c>
      <c r="B54" s="39">
        <f>10*ROUND(((B52-B53)*$B$12/100+B53*$B$9/100)/10,0)</f>
        <v>0</v>
      </c>
      <c r="C54" s="39">
        <v>2990</v>
      </c>
      <c r="D54" s="39">
        <v>1440</v>
      </c>
      <c r="E54" s="39">
        <f>10*ROUND(((E52-E53)*4/100+E53*$B$9/100)/10,0)</f>
        <v>940</v>
      </c>
      <c r="F54" s="39">
        <f>10*ROUND(((F52-F53)*$B$12/100+F53*$B$9/100)/10,0)</f>
        <v>0</v>
      </c>
      <c r="G54" s="39">
        <v>2100</v>
      </c>
      <c r="H54" s="39">
        <v>1160</v>
      </c>
      <c r="I54" s="39">
        <f>10*ROUND(((I52-I53)*$B$12/100+I53*$B$9/100)/10,0)</f>
        <v>700</v>
      </c>
      <c r="J54" s="39">
        <f>10*ROUND(((J52-J53)*$B$12/100+J53*$B$9/100)/10,0)</f>
        <v>0</v>
      </c>
      <c r="K54" s="39">
        <v>850</v>
      </c>
      <c r="L54" s="39">
        <v>900</v>
      </c>
      <c r="M54" s="39">
        <f>10*ROUND(((M52-M53)*$B$12/100+M53*$B$9/100)/10,0)</f>
        <v>700</v>
      </c>
    </row>
    <row r="55" spans="1:13" x14ac:dyDescent="0.2">
      <c r="A55" s="34" t="s">
        <v>49</v>
      </c>
      <c r="B55" s="32">
        <v>200</v>
      </c>
      <c r="C55" s="32">
        <f>10*ROUND($B$11/1000*C52,0)</f>
        <v>330</v>
      </c>
      <c r="D55" s="32">
        <f>10*ROUND($B$11/1000*D52,0)</f>
        <v>120</v>
      </c>
      <c r="E55" s="32">
        <v>90</v>
      </c>
      <c r="F55" s="32">
        <v>150</v>
      </c>
      <c r="G55" s="32">
        <v>230</v>
      </c>
      <c r="H55" s="32">
        <v>100</v>
      </c>
      <c r="I55" s="32">
        <v>70</v>
      </c>
      <c r="J55" s="32">
        <v>150</v>
      </c>
      <c r="K55" s="32">
        <v>90</v>
      </c>
      <c r="L55" s="32">
        <v>80</v>
      </c>
      <c r="M55" s="32">
        <v>70</v>
      </c>
    </row>
    <row r="56" spans="1:13" x14ac:dyDescent="0.2">
      <c r="A56" s="40" t="s">
        <v>50</v>
      </c>
      <c r="B56" s="41">
        <f>B51+B55-B54</f>
        <v>5300</v>
      </c>
      <c r="C56" s="41">
        <f>C51+C55-C54</f>
        <v>2580</v>
      </c>
      <c r="D56" s="41">
        <f>D51+D55-D54</f>
        <v>2920</v>
      </c>
      <c r="E56" s="41">
        <f t="shared" ref="E56" si="9">E51+E55-E54</f>
        <v>3280</v>
      </c>
      <c r="F56" s="41">
        <f t="shared" ref="F56:L56" si="10">F51+F55-F54</f>
        <v>3150</v>
      </c>
      <c r="G56" s="41">
        <f t="shared" si="10"/>
        <v>1830</v>
      </c>
      <c r="H56" s="41">
        <f t="shared" si="10"/>
        <v>2030</v>
      </c>
      <c r="I56" s="41">
        <f t="shared" si="10"/>
        <v>2350</v>
      </c>
      <c r="J56" s="41">
        <f t="shared" si="10"/>
        <v>2010</v>
      </c>
      <c r="K56" s="41">
        <f t="shared" si="10"/>
        <v>1390</v>
      </c>
      <c r="L56" s="41">
        <f t="shared" si="10"/>
        <v>1300</v>
      </c>
      <c r="M56" s="41">
        <f t="shared" ref="M56" si="11">M51+M55-M54</f>
        <v>1460</v>
      </c>
    </row>
    <row r="57" spans="1:13" x14ac:dyDescent="0.2">
      <c r="A57" s="40" t="s">
        <v>144</v>
      </c>
      <c r="B57" s="41"/>
      <c r="C57" s="124">
        <v>20</v>
      </c>
      <c r="D57" s="124">
        <v>30</v>
      </c>
      <c r="E57" s="124"/>
      <c r="F57" s="124"/>
      <c r="G57" s="124">
        <v>29</v>
      </c>
      <c r="H57" s="124">
        <v>37</v>
      </c>
      <c r="I57" s="124"/>
      <c r="J57" s="124"/>
      <c r="K57" s="124">
        <v>77</v>
      </c>
      <c r="L57" s="124">
        <v>48</v>
      </c>
      <c r="M57" s="124"/>
    </row>
    <row r="58" spans="1:13" x14ac:dyDescent="0.2">
      <c r="A58" s="40" t="s">
        <v>145</v>
      </c>
      <c r="B58" s="41"/>
      <c r="C58" s="41">
        <f>IF(C57&gt;=20,0,C56+10*ROUND((0.16*(C52-C53)+0.08*C53)/10,0))</f>
        <v>0</v>
      </c>
      <c r="D58" s="41">
        <f>IF(D57&gt;=20,0,D56+10*ROUND((0.16*(D52-D53)+0.08*D53)/10,0))</f>
        <v>0</v>
      </c>
      <c r="E58" s="41"/>
      <c r="F58" s="124"/>
      <c r="G58" s="41">
        <v>0</v>
      </c>
      <c r="H58" s="41">
        <v>0</v>
      </c>
      <c r="I58" s="124"/>
      <c r="J58" s="124"/>
      <c r="K58" s="41">
        <v>0</v>
      </c>
      <c r="L58" s="41">
        <v>0</v>
      </c>
      <c r="M58" s="124"/>
    </row>
    <row r="59" spans="1:13" x14ac:dyDescent="0.2">
      <c r="A59" s="29" t="s">
        <v>2</v>
      </c>
      <c r="B59" s="42">
        <v>0</v>
      </c>
      <c r="C59" s="42">
        <f t="shared" ref="C59:E59" si="12">-C44-20*(C56-$B$56)</f>
        <v>22230</v>
      </c>
      <c r="D59" s="42">
        <f t="shared" si="12"/>
        <v>15430</v>
      </c>
      <c r="E59" s="42">
        <f t="shared" si="12"/>
        <v>22230</v>
      </c>
      <c r="F59" s="42">
        <v>0</v>
      </c>
      <c r="G59" s="42">
        <f>20*($F$56-G56)-G44</f>
        <v>-5100</v>
      </c>
      <c r="H59" s="42">
        <f>20*($F$56-H56)-H44</f>
        <v>-9100</v>
      </c>
      <c r="I59" s="42">
        <f>20*($F$56-I56)-I44</f>
        <v>-1500</v>
      </c>
      <c r="J59" s="42">
        <v>0</v>
      </c>
      <c r="K59" s="42">
        <f>20*($J$56-K56)-K44</f>
        <v>-21100</v>
      </c>
      <c r="L59" s="42">
        <f t="shared" ref="L59:M59" si="13">20*($J$56-L56)-L44</f>
        <v>-19300</v>
      </c>
      <c r="M59" s="42">
        <f t="shared" si="13"/>
        <v>-27820</v>
      </c>
    </row>
    <row r="60" spans="1:13" x14ac:dyDescent="0.2">
      <c r="A60" s="29" t="s">
        <v>18</v>
      </c>
      <c r="B60" s="43"/>
      <c r="C60" s="44">
        <f t="shared" ref="C60:E60" si="14">IF((($B$56-C56)=0),IF((C44&lt;=0),"sofort","nie"),IF((C44/($B$56-C56)&lt;=0),IF((C44&lt;=0),"sofort","nie"),C44/($B$56-C56)))</f>
        <v>11.827205882352942</v>
      </c>
      <c r="D60" s="44">
        <f t="shared" si="14"/>
        <v>13.516806722689076</v>
      </c>
      <c r="E60" s="44">
        <f t="shared" si="14"/>
        <v>8.9950495049504955</v>
      </c>
      <c r="F60" s="44"/>
      <c r="G60" s="44">
        <f>G44/($F$56-G56)</f>
        <v>23.863636363636363</v>
      </c>
      <c r="H60" s="44">
        <f t="shared" ref="H60:I60" si="15">H44/($F$56-H56)</f>
        <v>28.125</v>
      </c>
      <c r="I60" s="44">
        <f t="shared" si="15"/>
        <v>21.875</v>
      </c>
      <c r="J60" s="44"/>
      <c r="K60" s="44">
        <f>K44/($J$56-K56)</f>
        <v>54.032258064516128</v>
      </c>
      <c r="L60" s="44">
        <f t="shared" ref="L60:M60" si="16">L44/($J$56-L56)</f>
        <v>47.183098591549296</v>
      </c>
      <c r="M60" s="44">
        <f t="shared" si="16"/>
        <v>70.581818181818178</v>
      </c>
    </row>
    <row r="61" spans="1:13" x14ac:dyDescent="0.2">
      <c r="A61" s="29" t="s">
        <v>19</v>
      </c>
      <c r="B61" s="45">
        <f>ROUND((10.6*B22*$I$6+B49*$I$9)/1000,1)</f>
        <v>10.5</v>
      </c>
      <c r="C61" s="45">
        <v>4.9000000000000004</v>
      </c>
      <c r="D61" s="45">
        <v>5.8</v>
      </c>
      <c r="E61" s="45">
        <v>4.0999999999999996</v>
      </c>
      <c r="F61" s="45">
        <v>5.3</v>
      </c>
      <c r="G61" s="45">
        <v>3.5</v>
      </c>
      <c r="H61" s="45">
        <v>4.0999999999999996</v>
      </c>
      <c r="I61" s="45">
        <v>3</v>
      </c>
      <c r="J61" s="45">
        <v>3</v>
      </c>
      <c r="K61" s="45">
        <v>2.4</v>
      </c>
      <c r="L61" s="45">
        <v>2.5</v>
      </c>
      <c r="M61" s="45">
        <v>1.8</v>
      </c>
    </row>
    <row r="62" spans="1:13" x14ac:dyDescent="0.2">
      <c r="A62" s="29" t="s">
        <v>127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</row>
    <row r="63" spans="1:13" x14ac:dyDescent="0.2">
      <c r="A63" s="29" t="s">
        <v>4</v>
      </c>
      <c r="B63" s="46">
        <v>0</v>
      </c>
      <c r="C63" s="46">
        <f>C53/B49</f>
        <v>0.73</v>
      </c>
      <c r="D63" s="46">
        <f>D53/C49</f>
        <v>0.74750000000000005</v>
      </c>
      <c r="E63" s="46">
        <f>E53/E49</f>
        <v>0.58750000000000002</v>
      </c>
      <c r="F63" s="46">
        <v>0</v>
      </c>
      <c r="G63" s="46">
        <v>0.76</v>
      </c>
      <c r="H63" s="46">
        <v>0.8</v>
      </c>
      <c r="I63" s="46">
        <v>0.59</v>
      </c>
      <c r="J63" s="46">
        <v>0</v>
      </c>
      <c r="K63" s="46">
        <v>0.38</v>
      </c>
      <c r="L63" s="46">
        <v>0.63</v>
      </c>
      <c r="M63" s="46">
        <v>0.59</v>
      </c>
    </row>
    <row r="64" spans="1:13" x14ac:dyDescent="0.2">
      <c r="A64" s="157" t="s">
        <v>173</v>
      </c>
      <c r="B64" s="114">
        <f>B50/B24</f>
        <v>254.16666666666666</v>
      </c>
      <c r="C64" s="114">
        <f t="shared" ref="C64:M64" si="17">C50/C24</f>
        <v>253.08333333333334</v>
      </c>
      <c r="D64" s="114">
        <f t="shared" si="17"/>
        <v>183.25</v>
      </c>
      <c r="E64" s="114">
        <f t="shared" si="17"/>
        <v>175.75</v>
      </c>
      <c r="F64" s="114">
        <f t="shared" si="17"/>
        <v>128.57142857142858</v>
      </c>
      <c r="G64" s="114">
        <f t="shared" si="17"/>
        <v>148.64285714285714</v>
      </c>
      <c r="H64" s="114">
        <f t="shared" si="17"/>
        <v>112.28571428571429</v>
      </c>
      <c r="I64" s="114">
        <f t="shared" si="17"/>
        <v>106.14285714285714</v>
      </c>
      <c r="J64" s="114">
        <f t="shared" si="17"/>
        <v>70.833333333333329</v>
      </c>
      <c r="K64" s="114">
        <f t="shared" si="17"/>
        <v>66.166666666666671</v>
      </c>
      <c r="L64" s="114">
        <f t="shared" si="17"/>
        <v>63.666666666666664</v>
      </c>
      <c r="M64" s="114">
        <f t="shared" si="17"/>
        <v>61.583333333333336</v>
      </c>
    </row>
    <row r="65" spans="2:9" x14ac:dyDescent="0.2">
      <c r="D65" s="6"/>
      <c r="E65" s="6"/>
      <c r="I65" s="3"/>
    </row>
    <row r="66" spans="2:9" x14ac:dyDescent="0.2">
      <c r="B66" s="58"/>
      <c r="C66" s="49" t="s">
        <v>54</v>
      </c>
      <c r="D66" s="49"/>
      <c r="E66" s="49"/>
      <c r="F66" s="59"/>
      <c r="G66" s="60" t="s">
        <v>55</v>
      </c>
      <c r="H66" s="49"/>
      <c r="I66" s="50"/>
    </row>
    <row r="67" spans="2:9" x14ac:dyDescent="0.2">
      <c r="B67" s="61"/>
      <c r="C67" t="s">
        <v>56</v>
      </c>
      <c r="F67" s="62"/>
      <c r="G67" s="52" t="s">
        <v>131</v>
      </c>
      <c r="I67" s="53"/>
    </row>
    <row r="68" spans="2:9" x14ac:dyDescent="0.2">
      <c r="B68" s="63"/>
      <c r="C68" t="s">
        <v>58</v>
      </c>
      <c r="F68" s="64"/>
      <c r="G68" t="s">
        <v>59</v>
      </c>
      <c r="I68" s="53"/>
    </row>
    <row r="69" spans="2:9" x14ac:dyDescent="0.2">
      <c r="B69" s="65"/>
      <c r="C69" s="56" t="s">
        <v>60</v>
      </c>
      <c r="D69" s="56"/>
      <c r="E69" s="56"/>
      <c r="F69" s="56"/>
      <c r="G69" s="56"/>
      <c r="H69" s="56"/>
      <c r="I69" s="57"/>
    </row>
    <row r="71" spans="2:9" x14ac:dyDescent="0.2">
      <c r="B71" s="47"/>
      <c r="C71" s="48" t="s">
        <v>63</v>
      </c>
      <c r="D71" s="49"/>
      <c r="E71" s="49"/>
      <c r="F71" s="50"/>
    </row>
    <row r="72" spans="2:9" x14ac:dyDescent="0.2">
      <c r="B72" s="51" t="s">
        <v>64</v>
      </c>
      <c r="C72" s="52" t="s">
        <v>66</v>
      </c>
      <c r="F72" s="53"/>
    </row>
    <row r="73" spans="2:9" x14ac:dyDescent="0.2">
      <c r="B73" s="54" t="s">
        <v>65</v>
      </c>
      <c r="C73" s="55" t="s">
        <v>67</v>
      </c>
      <c r="D73" s="56"/>
      <c r="E73" s="56"/>
      <c r="F73" s="57"/>
    </row>
    <row r="75" spans="2:9" x14ac:dyDescent="0.2">
      <c r="B75" t="s">
        <v>177</v>
      </c>
    </row>
    <row r="77" spans="2:9" x14ac:dyDescent="0.2">
      <c r="B77" s="150" t="s">
        <v>178</v>
      </c>
      <c r="C77" s="151" t="s">
        <v>178</v>
      </c>
      <c r="D77" s="152" t="s">
        <v>179</v>
      </c>
      <c r="E77" s="153" t="s">
        <v>179</v>
      </c>
      <c r="F77" s="154" t="s">
        <v>180</v>
      </c>
    </row>
    <row r="78" spans="2:9" x14ac:dyDescent="0.2">
      <c r="B78" s="155"/>
      <c r="C78" s="151" t="s">
        <v>181</v>
      </c>
      <c r="D78" s="152"/>
      <c r="E78" s="153" t="s">
        <v>182</v>
      </c>
      <c r="F78" s="149"/>
    </row>
  </sheetData>
  <sheetProtection algorithmName="SHA-512" hashValue="Zy6hdE1ozOCbIoV8v338QuM3bWYH78vLO4iWHryOiAmS8lxPvW1dAHmXgErJFPgcCulLojg55ITxXlDNl8x7sw==" saltValue="woVjQdrfX9efZ1vVlnc2uw==" spinCount="100000" sheet="1" objects="1" scenarios="1" selectLockedCells="1" selectUnlockedCells="1"/>
  <phoneticPr fontId="0" type="noConversion"/>
  <conditionalFormatting sqref="B60">
    <cfRule type="expression" dxfId="45" priority="25" stopIfTrue="1">
      <formula>OR(IF(B$44&gt;0,B$60&lt;=10,B$60&gt;30),B$60&lt;0)</formula>
    </cfRule>
    <cfRule type="expression" dxfId="44" priority="28" stopIfTrue="1">
      <formula>B$44&lt;0</formula>
    </cfRule>
  </conditionalFormatting>
  <conditionalFormatting sqref="B44:M44">
    <cfRule type="cellIs" dxfId="43" priority="13" operator="lessThan">
      <formula>0</formula>
    </cfRule>
    <cfRule type="cellIs" dxfId="42" priority="14" stopIfTrue="1" operator="lessThanOrEqual">
      <formula>5000</formula>
    </cfRule>
  </conditionalFormatting>
  <conditionalFormatting sqref="B56:M56">
    <cfRule type="cellIs" dxfId="41" priority="15" operator="greaterThan">
      <formula>$B$56</formula>
    </cfRule>
    <cfRule type="cellIs" dxfId="40" priority="32" stopIfTrue="1" operator="lessThanOrEqual">
      <formula>1500</formula>
    </cfRule>
  </conditionalFormatting>
  <conditionalFormatting sqref="B59:M59">
    <cfRule type="cellIs" dxfId="39" priority="24" stopIfTrue="1" operator="greaterThanOrEqual">
      <formula>5000</formula>
    </cfRule>
  </conditionalFormatting>
  <conditionalFormatting sqref="B61:M61">
    <cfRule type="cellIs" dxfId="38" priority="20" stopIfTrue="1" operator="greaterThan">
      <formula>$B$61</formula>
    </cfRule>
    <cfRule type="cellIs" dxfId="37" priority="23" stopIfTrue="1" operator="lessThanOrEqual">
      <formula>2</formula>
    </cfRule>
  </conditionalFormatting>
  <conditionalFormatting sqref="B62:M62">
    <cfRule type="cellIs" dxfId="36" priority="19" stopIfTrue="1" operator="greaterThanOrEqual">
      <formula>0.5</formula>
    </cfRule>
  </conditionalFormatting>
  <conditionalFormatting sqref="B63:M63">
    <cfRule type="cellIs" dxfId="35" priority="18" stopIfTrue="1" operator="greaterThanOrEqual">
      <formula>0.5</formula>
    </cfRule>
  </conditionalFormatting>
  <conditionalFormatting sqref="B64:M64">
    <cfRule type="cellIs" dxfId="34" priority="1" operator="greaterThan">
      <formula>220</formula>
    </cfRule>
    <cfRule type="cellIs" dxfId="33" priority="2" operator="between">
      <formula>180</formula>
      <formula>220</formula>
    </cfRule>
    <cfRule type="cellIs" dxfId="32" priority="3" operator="between">
      <formula>100</formula>
      <formula>180</formula>
    </cfRule>
    <cfRule type="cellIs" dxfId="31" priority="4" operator="between">
      <formula>80</formula>
      <formula>100</formula>
    </cfRule>
    <cfRule type="cellIs" dxfId="30" priority="5" operator="lessThan">
      <formula>80</formula>
    </cfRule>
  </conditionalFormatting>
  <conditionalFormatting sqref="C60:M60">
    <cfRule type="expression" dxfId="29" priority="9">
      <formula>OR(IF(C$44&gt;0,C$60&lt;=10,C$60&gt;30),C$62="sofort")</formula>
    </cfRule>
    <cfRule type="expression" dxfId="28" priority="10" stopIfTrue="1">
      <formula>C$44&lt;0</formula>
    </cfRule>
  </conditionalFormatting>
  <pageMargins left="0.25" right="0.25" top="0.75" bottom="0.75" header="0.3" footer="0.3"/>
  <pageSetup paperSize="9" scale="51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M97"/>
  <sheetViews>
    <sheetView showGridLines="0" zoomScale="90" zoomScaleNormal="9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12" width="17.7109375" customWidth="1"/>
  </cols>
  <sheetData>
    <row r="1" spans="1:38" s="2" customFormat="1" ht="23.25" x14ac:dyDescent="0.35">
      <c r="A1" s="7" t="s">
        <v>76</v>
      </c>
      <c r="B1" s="2" t="s">
        <v>78</v>
      </c>
    </row>
    <row r="2" spans="1:38" s="2" customFormat="1" ht="23.25" x14ac:dyDescent="0.35">
      <c r="A2" s="7"/>
      <c r="B2" s="66" t="s">
        <v>171</v>
      </c>
    </row>
    <row r="3" spans="1:38" s="2" customFormat="1" ht="23.25" x14ac:dyDescent="0.35">
      <c r="A3" s="7"/>
      <c r="B3" s="52" t="s">
        <v>167</v>
      </c>
      <c r="C3"/>
      <c r="D3"/>
      <c r="E3"/>
      <c r="F3"/>
    </row>
    <row r="4" spans="1:38" s="2" customFormat="1" ht="24.95" customHeight="1" x14ac:dyDescent="0.35">
      <c r="A4" s="7"/>
      <c r="B4" s="101" t="s">
        <v>170</v>
      </c>
      <c r="C4" s="102"/>
      <c r="D4" s="102"/>
      <c r="E4" s="102"/>
      <c r="F4" s="102"/>
      <c r="M4" s="107"/>
      <c r="N4" s="107"/>
    </row>
    <row r="5" spans="1:38" ht="12.75" customHeight="1" x14ac:dyDescent="0.2">
      <c r="A5" s="10"/>
      <c r="B5" s="11"/>
      <c r="C5" s="11"/>
      <c r="D5" s="11"/>
      <c r="E5" s="11"/>
      <c r="F5" s="11"/>
      <c r="G5" s="11"/>
      <c r="H5" s="75" t="s">
        <v>36</v>
      </c>
      <c r="I5" s="72"/>
      <c r="J5" s="11"/>
      <c r="K5" s="11"/>
      <c r="L5" s="11"/>
      <c r="M5" s="11"/>
      <c r="N5" s="12"/>
      <c r="O5" s="84"/>
      <c r="P5" s="84"/>
    </row>
    <row r="6" spans="1:38" x14ac:dyDescent="0.2">
      <c r="A6" s="18" t="s">
        <v>61</v>
      </c>
      <c r="B6" s="68">
        <v>2500</v>
      </c>
      <c r="C6" s="69" t="s">
        <v>62</v>
      </c>
      <c r="D6" s="70" t="str">
        <f>IF(OR((B6&lt;0),(B6&gt;100000)),"Wert prüfen","gültiger Wert")</f>
        <v>gültiger Wert</v>
      </c>
      <c r="E6" s="9"/>
      <c r="F6" s="9"/>
      <c r="G6" s="9"/>
      <c r="H6" s="77">
        <v>2500</v>
      </c>
      <c r="I6" s="72" t="s">
        <v>62</v>
      </c>
      <c r="J6" s="9"/>
      <c r="K6" s="9"/>
      <c r="L6" s="9"/>
      <c r="M6" s="9"/>
      <c r="N6" s="14"/>
      <c r="O6" s="84"/>
      <c r="P6" s="84"/>
    </row>
    <row r="7" spans="1:38" x14ac:dyDescent="0.2">
      <c r="A7" s="18" t="s">
        <v>132</v>
      </c>
      <c r="B7" s="68">
        <v>0</v>
      </c>
      <c r="C7" s="69" t="s">
        <v>87</v>
      </c>
      <c r="D7" s="70" t="str">
        <f>IF(OR((B7&lt;0),(B7&gt;1000000)),"Wert prüfen","gültiger Wert")</f>
        <v>gültiger Wert</v>
      </c>
      <c r="E7" s="9"/>
      <c r="F7" s="9"/>
      <c r="G7" s="9"/>
      <c r="H7" s="77">
        <v>0</v>
      </c>
      <c r="I7" s="72" t="s">
        <v>87</v>
      </c>
      <c r="J7" s="9"/>
      <c r="K7" s="9"/>
      <c r="L7" s="9"/>
      <c r="M7" s="9"/>
      <c r="N7" s="14"/>
      <c r="O7" s="84"/>
      <c r="P7" s="84"/>
    </row>
    <row r="8" spans="1:38" x14ac:dyDescent="0.2">
      <c r="A8" s="18" t="s">
        <v>135</v>
      </c>
      <c r="B8" s="68">
        <v>0</v>
      </c>
      <c r="C8" s="69" t="s">
        <v>138</v>
      </c>
      <c r="D8" s="70" t="str">
        <f>IF(OR((B8&lt;0),(B8&gt;1000)),"Wert prüfen","gültiger Wert")</f>
        <v>gültiger Wert</v>
      </c>
      <c r="E8" s="9"/>
      <c r="F8" s="9"/>
      <c r="G8" s="9"/>
      <c r="H8" s="77">
        <v>0</v>
      </c>
      <c r="I8" s="72" t="s">
        <v>87</v>
      </c>
      <c r="J8" s="9"/>
      <c r="K8" s="9"/>
      <c r="L8" s="9"/>
      <c r="M8" s="9"/>
      <c r="N8" s="14"/>
      <c r="O8" s="84"/>
      <c r="P8" s="84"/>
    </row>
    <row r="9" spans="1:38" x14ac:dyDescent="0.2">
      <c r="A9" s="18" t="s">
        <v>136</v>
      </c>
      <c r="B9" s="68">
        <v>0</v>
      </c>
      <c r="C9" s="69" t="s">
        <v>139</v>
      </c>
      <c r="D9" s="70" t="str">
        <f>IF(OR((B9&lt;0),(B9&gt;1000)),"Wertprüfen","gültiger Wert")</f>
        <v>gültiger Wert</v>
      </c>
      <c r="E9" s="9"/>
      <c r="F9" s="9"/>
      <c r="G9" s="9"/>
      <c r="H9" s="77">
        <v>0</v>
      </c>
      <c r="I9" s="72" t="s">
        <v>87</v>
      </c>
      <c r="J9" s="9"/>
      <c r="K9" s="9"/>
      <c r="L9" s="9"/>
      <c r="M9" s="9"/>
      <c r="N9" s="14"/>
      <c r="O9" s="84"/>
      <c r="P9" s="84"/>
    </row>
    <row r="10" spans="1:38" x14ac:dyDescent="0.2">
      <c r="A10" s="18" t="s">
        <v>137</v>
      </c>
      <c r="B10" s="68">
        <v>0</v>
      </c>
      <c r="C10" s="69" t="s">
        <v>87</v>
      </c>
      <c r="D10" s="70" t="str">
        <f>IF(OR((B10&lt;0),(B10&gt;1000000)),"Wert prüfen","gültiger Wert")</f>
        <v>gültiger Wert</v>
      </c>
      <c r="E10" s="9"/>
      <c r="F10" s="9"/>
      <c r="G10" s="9"/>
      <c r="H10" s="77">
        <v>0</v>
      </c>
      <c r="I10" s="72" t="s">
        <v>87</v>
      </c>
      <c r="J10" s="9"/>
      <c r="K10" s="9"/>
      <c r="L10" s="9"/>
      <c r="M10" s="9"/>
      <c r="N10" s="14"/>
      <c r="O10" s="84"/>
      <c r="P10" s="84"/>
    </row>
    <row r="11" spans="1:38" x14ac:dyDescent="0.2">
      <c r="A11" s="18" t="s">
        <v>133</v>
      </c>
      <c r="B11" s="68">
        <v>4600</v>
      </c>
      <c r="C11" s="69" t="s">
        <v>87</v>
      </c>
      <c r="D11" s="70" t="str">
        <f>IF(OR((B11&lt;0),(B11&gt;100000)),"Wert prüfen","gültiger Wert")</f>
        <v>gültiger Wert</v>
      </c>
      <c r="E11" s="9"/>
      <c r="F11" s="9"/>
      <c r="G11" s="9"/>
      <c r="H11" s="77">
        <v>4600</v>
      </c>
      <c r="I11" s="72" t="s">
        <v>87</v>
      </c>
      <c r="J11" s="18" t="s">
        <v>31</v>
      </c>
      <c r="K11" s="19"/>
      <c r="L11" s="20"/>
      <c r="M11" s="75" t="s">
        <v>36</v>
      </c>
      <c r="N11" s="72"/>
      <c r="O11" s="84"/>
      <c r="P11" s="84"/>
    </row>
    <row r="12" spans="1:38" x14ac:dyDescent="0.2">
      <c r="A12" s="18" t="s">
        <v>134</v>
      </c>
      <c r="B12" s="68">
        <v>3000</v>
      </c>
      <c r="C12" s="69" t="s">
        <v>87</v>
      </c>
      <c r="D12" s="70" t="str">
        <f>IF(OR((B12&lt;0),(B12&gt;100000)),"Wert prüfen","gültiger Wert")</f>
        <v>gültiger Wert</v>
      </c>
      <c r="E12" s="9"/>
      <c r="F12" s="9"/>
      <c r="G12" s="9"/>
      <c r="H12" s="77">
        <v>3000</v>
      </c>
      <c r="I12" s="72" t="s">
        <v>87</v>
      </c>
      <c r="J12" s="21" t="s">
        <v>45</v>
      </c>
      <c r="K12" s="74">
        <v>0.31</v>
      </c>
      <c r="L12" s="20" t="s">
        <v>35</v>
      </c>
      <c r="M12" s="105">
        <v>0.31</v>
      </c>
      <c r="N12" s="72" t="s">
        <v>35</v>
      </c>
      <c r="O12" s="84"/>
      <c r="P12" s="84"/>
    </row>
    <row r="13" spans="1:38" x14ac:dyDescent="0.2">
      <c r="A13" s="18" t="s">
        <v>157</v>
      </c>
      <c r="B13" s="71">
        <v>0.8</v>
      </c>
      <c r="C13" s="69"/>
      <c r="D13" s="70" t="str">
        <f>IF(OR((B13&lt;0.5),(B13&gt;1)),"Wert außerhalb","gültiger Wert")</f>
        <v>gültiger Wert</v>
      </c>
      <c r="E13" s="9"/>
      <c r="F13" s="9"/>
      <c r="G13" s="9"/>
      <c r="H13" s="76">
        <v>0.8</v>
      </c>
      <c r="I13" s="72"/>
      <c r="J13" s="21" t="s">
        <v>32</v>
      </c>
      <c r="K13" s="74">
        <v>0.24</v>
      </c>
      <c r="L13" s="20" t="s">
        <v>35</v>
      </c>
      <c r="M13" s="105">
        <v>0.24</v>
      </c>
      <c r="N13" s="72" t="s">
        <v>35</v>
      </c>
      <c r="O13" s="84"/>
      <c r="P13" s="84"/>
    </row>
    <row r="14" spans="1:38" x14ac:dyDescent="0.2">
      <c r="A14" s="18" t="s">
        <v>44</v>
      </c>
      <c r="B14" s="67">
        <v>1.4</v>
      </c>
      <c r="C14" s="70" t="s">
        <v>158</v>
      </c>
      <c r="D14" s="70" t="str">
        <f>IF(OR((B14&lt;0),(B14&gt;10)),"Wert prüfen","gültiger Wert")</f>
        <v>gültiger Wert</v>
      </c>
      <c r="E14" s="9"/>
      <c r="F14" s="9"/>
      <c r="G14" s="9"/>
      <c r="H14" s="97" t="s">
        <v>150</v>
      </c>
      <c r="I14" s="72"/>
      <c r="J14" s="21" t="s">
        <v>75</v>
      </c>
      <c r="K14" s="74">
        <v>0.152</v>
      </c>
      <c r="L14" s="20" t="s">
        <v>35</v>
      </c>
      <c r="M14" s="105">
        <v>0.152</v>
      </c>
      <c r="N14" s="72" t="s">
        <v>35</v>
      </c>
      <c r="O14" s="84"/>
      <c r="P14" s="84"/>
    </row>
    <row r="15" spans="1:38" x14ac:dyDescent="0.2">
      <c r="A15" s="18" t="s">
        <v>21</v>
      </c>
      <c r="B15" s="67">
        <v>12</v>
      </c>
      <c r="C15" s="70" t="s">
        <v>23</v>
      </c>
      <c r="D15" s="70" t="str">
        <f>IF(OR((B15&lt;3),(B15&gt;100)),"Wert prüfen","gültiger Wert")</f>
        <v>gültiger Wert</v>
      </c>
      <c r="E15" s="9"/>
      <c r="F15" s="9"/>
      <c r="G15" s="9"/>
      <c r="H15" s="97" t="s">
        <v>151</v>
      </c>
      <c r="I15" s="72"/>
      <c r="J15" s="21" t="s">
        <v>24</v>
      </c>
      <c r="K15" s="74">
        <v>0.56000000000000005</v>
      </c>
      <c r="L15" s="20" t="s">
        <v>35</v>
      </c>
      <c r="M15" s="105">
        <v>0.56000000000000005</v>
      </c>
      <c r="N15" s="72" t="s">
        <v>35</v>
      </c>
      <c r="O15" s="84"/>
      <c r="P15" s="84"/>
    </row>
    <row r="16" spans="1:38" x14ac:dyDescent="0.2">
      <c r="A16" s="18" t="s">
        <v>25</v>
      </c>
      <c r="B16" s="68">
        <v>100</v>
      </c>
      <c r="C16" s="70" t="s">
        <v>27</v>
      </c>
      <c r="D16" s="21" t="str">
        <f>IF(OR((B16&lt;10),(B16&gt;1000)),"Wert prüfen","gültiger Wert")</f>
        <v>gültiger Wert</v>
      </c>
      <c r="E16" s="96">
        <v>1880</v>
      </c>
      <c r="F16" s="19" t="s">
        <v>29</v>
      </c>
      <c r="G16" s="123">
        <f>B16/E16*100</f>
        <v>5.3191489361702127</v>
      </c>
      <c r="H16" s="76">
        <v>100</v>
      </c>
      <c r="I16" s="121" t="s">
        <v>27</v>
      </c>
      <c r="J16" s="21" t="s">
        <v>33</v>
      </c>
      <c r="K16" s="74">
        <v>0.02</v>
      </c>
      <c r="L16" s="20" t="s">
        <v>35</v>
      </c>
      <c r="M16" s="105">
        <v>0.02</v>
      </c>
      <c r="N16" s="72" t="s">
        <v>35</v>
      </c>
      <c r="O16" s="4"/>
      <c r="P16" s="5"/>
      <c r="Q16" s="4"/>
      <c r="R16" s="5"/>
      <c r="S16" s="4"/>
      <c r="T16" s="4"/>
      <c r="AK16" s="84"/>
      <c r="AL16" s="84"/>
    </row>
    <row r="17" spans="1:38" x14ac:dyDescent="0.2">
      <c r="A17" s="18" t="s">
        <v>26</v>
      </c>
      <c r="B17" s="68">
        <v>300</v>
      </c>
      <c r="C17" s="70" t="s">
        <v>28</v>
      </c>
      <c r="D17" s="21" t="str">
        <f>IF(OR((B17&lt;150),(B17&gt;1000)),"Wert prüfen","gültiger Wert")</f>
        <v>gültiger Wert</v>
      </c>
      <c r="E17" s="96">
        <v>5400</v>
      </c>
      <c r="F17" s="122" t="s">
        <v>30</v>
      </c>
      <c r="G17" s="123">
        <f>B17/E17*100</f>
        <v>5.5555555555555554</v>
      </c>
      <c r="H17" s="76">
        <v>300</v>
      </c>
      <c r="I17" s="121" t="s">
        <v>28</v>
      </c>
      <c r="J17" s="21" t="s">
        <v>34</v>
      </c>
      <c r="K17" s="74">
        <v>4.1000000000000002E-2</v>
      </c>
      <c r="L17" s="20" t="s">
        <v>35</v>
      </c>
      <c r="M17" s="105">
        <v>4.1000000000000002E-2</v>
      </c>
      <c r="N17" s="72" t="s">
        <v>35</v>
      </c>
      <c r="O17" s="4"/>
      <c r="P17" s="5"/>
      <c r="Q17" s="4"/>
      <c r="R17" s="5"/>
      <c r="S17" s="4"/>
      <c r="T17" s="4"/>
      <c r="AK17" s="84"/>
      <c r="AL17" s="84"/>
    </row>
    <row r="18" spans="1:38" x14ac:dyDescent="0.2">
      <c r="A18" s="18" t="s">
        <v>74</v>
      </c>
      <c r="B18" s="67">
        <v>12</v>
      </c>
      <c r="C18" s="70" t="s">
        <v>23</v>
      </c>
      <c r="D18" s="70" t="str">
        <f>IF(OR((B18&lt;3),(B18&gt;100)),"Wert prüfen","gültiger Wert")</f>
        <v>gültiger Wert</v>
      </c>
      <c r="E18" s="9"/>
      <c r="F18" s="9"/>
      <c r="G18" s="9"/>
      <c r="H18" s="97" t="s">
        <v>151</v>
      </c>
      <c r="I18" s="72"/>
      <c r="J18" s="9"/>
      <c r="K18" s="9"/>
      <c r="L18" s="9"/>
      <c r="M18" s="103"/>
      <c r="N18" s="104"/>
      <c r="O18" s="84"/>
      <c r="P18" s="84"/>
    </row>
    <row r="19" spans="1:38" x14ac:dyDescent="0.2">
      <c r="A19" s="18" t="s">
        <v>22</v>
      </c>
      <c r="B19" s="67">
        <v>40</v>
      </c>
      <c r="C19" s="70" t="s">
        <v>23</v>
      </c>
      <c r="D19" s="70" t="str">
        <f>IF(OR((B19&lt;20),(B19&gt;200)),"Wert prüfen","gültiger Wert")</f>
        <v>gültiger Wert</v>
      </c>
      <c r="E19" s="9"/>
      <c r="F19" s="9"/>
      <c r="G19" s="9"/>
      <c r="H19" s="97" t="s">
        <v>152</v>
      </c>
      <c r="I19" s="72"/>
      <c r="J19" s="9"/>
      <c r="K19" s="9"/>
      <c r="L19" s="9"/>
      <c r="M19" s="103"/>
      <c r="N19" s="104"/>
      <c r="O19" s="84"/>
      <c r="P19" s="84"/>
    </row>
    <row r="20" spans="1:38" x14ac:dyDescent="0.2">
      <c r="A20" s="18" t="s">
        <v>140</v>
      </c>
      <c r="B20" s="67">
        <v>28</v>
      </c>
      <c r="C20" s="70" t="s">
        <v>23</v>
      </c>
      <c r="D20" s="70" t="str">
        <f>IF(OR((B20&lt;10),(B20&gt;200)),"Wert prüfen","gültiger Wert")</f>
        <v>gültiger Wert</v>
      </c>
      <c r="E20" s="9"/>
      <c r="F20" s="9"/>
      <c r="G20" s="9"/>
      <c r="H20" s="97">
        <v>28</v>
      </c>
      <c r="I20" s="72" t="s">
        <v>159</v>
      </c>
      <c r="J20" s="9"/>
      <c r="K20" s="9"/>
      <c r="L20" s="9"/>
      <c r="M20" s="103"/>
      <c r="N20" s="104"/>
      <c r="O20" s="84"/>
      <c r="P20" s="84"/>
    </row>
    <row r="21" spans="1:38" x14ac:dyDescent="0.2">
      <c r="A21" s="18" t="s">
        <v>156</v>
      </c>
      <c r="B21" s="67">
        <v>14</v>
      </c>
      <c r="C21" s="69" t="s">
        <v>23</v>
      </c>
      <c r="D21" s="70" t="str">
        <f>IF(OR((B21&lt;0),(B21&gt;50)),"Wert prüfen","gültiger Wert")</f>
        <v>gültiger Wert</v>
      </c>
      <c r="E21" s="13"/>
      <c r="F21" s="9"/>
      <c r="G21" s="14"/>
      <c r="H21" s="97">
        <v>14</v>
      </c>
      <c r="I21" s="72" t="s">
        <v>159</v>
      </c>
      <c r="J21" s="9"/>
      <c r="K21" s="9"/>
      <c r="L21" s="9"/>
      <c r="M21" s="9"/>
      <c r="N21" s="14"/>
      <c r="O21" s="84"/>
      <c r="P21" s="84"/>
    </row>
    <row r="22" spans="1:38" x14ac:dyDescent="0.2">
      <c r="A22" s="17" t="s">
        <v>126</v>
      </c>
      <c r="B22" s="67">
        <v>4</v>
      </c>
      <c r="C22" s="14" t="s">
        <v>23</v>
      </c>
      <c r="D22" s="70" t="str">
        <f>IF(OR((B22&lt;0),(B22&gt;50)),"Wert prüfen","gültiger Wert")</f>
        <v>gültiger Wert</v>
      </c>
      <c r="E22" s="9"/>
      <c r="F22" s="9"/>
      <c r="G22" s="9"/>
      <c r="H22" s="77" t="s">
        <v>153</v>
      </c>
      <c r="I22" s="20"/>
      <c r="J22" s="9"/>
      <c r="K22" s="100"/>
      <c r="L22" s="9"/>
      <c r="M22" s="103"/>
      <c r="N22" s="14"/>
      <c r="O22" s="84"/>
      <c r="P22" s="84"/>
    </row>
    <row r="23" spans="1:38" x14ac:dyDescent="0.2">
      <c r="A23" s="18" t="s">
        <v>174</v>
      </c>
      <c r="B23" s="71">
        <v>120</v>
      </c>
      <c r="C23" s="69" t="s">
        <v>175</v>
      </c>
      <c r="D23" s="70" t="str">
        <f>IF(OR((B23&lt;10),(B23&gt;1000)),"Wert außerhalb","gültiger Wert")</f>
        <v>gültiger Wert</v>
      </c>
      <c r="E23" s="9"/>
      <c r="F23" s="9"/>
      <c r="G23" s="9"/>
      <c r="H23" s="76">
        <v>120</v>
      </c>
      <c r="I23" s="72" t="s">
        <v>176</v>
      </c>
      <c r="J23" s="9"/>
      <c r="K23" s="9"/>
      <c r="L23" s="9"/>
      <c r="M23" s="103"/>
      <c r="N23" s="14"/>
      <c r="O23" s="84"/>
      <c r="P23" s="84"/>
    </row>
    <row r="24" spans="1:38" x14ac:dyDescent="0.2">
      <c r="A24" s="18" t="s">
        <v>14</v>
      </c>
      <c r="B24" s="68">
        <v>4000</v>
      </c>
      <c r="C24" s="70" t="s">
        <v>15</v>
      </c>
      <c r="D24" s="70" t="str">
        <f>IF(OR((B24&lt;1000),(B24&gt;10000)),"Wert prüfen","gültiger Wert")</f>
        <v>gültiger Wert</v>
      </c>
      <c r="E24" s="9"/>
      <c r="F24" s="9"/>
      <c r="G24" s="9"/>
      <c r="H24" s="77" t="s">
        <v>154</v>
      </c>
      <c r="I24" s="72"/>
      <c r="J24" s="9"/>
      <c r="K24" s="9"/>
      <c r="L24" s="9"/>
      <c r="M24" s="103"/>
      <c r="N24" s="14"/>
      <c r="O24" s="84"/>
      <c r="P24" s="84"/>
    </row>
    <row r="25" spans="1:38" x14ac:dyDescent="0.2">
      <c r="A25" s="136" t="s">
        <v>160</v>
      </c>
      <c r="B25" s="158" t="s">
        <v>161</v>
      </c>
      <c r="C25" s="69" t="s">
        <v>162</v>
      </c>
      <c r="D25" s="70" t="str">
        <f>IF(OR(B25="n",B25="a"),"gültiger Wert","Fehleingabe")</f>
        <v>gültiger Wert</v>
      </c>
      <c r="E25" s="15"/>
      <c r="F25" s="15"/>
      <c r="G25" s="15"/>
      <c r="H25" s="137" t="s">
        <v>161</v>
      </c>
      <c r="I25" s="72"/>
      <c r="J25" s="15"/>
      <c r="K25" s="15"/>
      <c r="L25" s="15"/>
      <c r="M25" s="15"/>
      <c r="N25" s="16"/>
      <c r="O25" s="84"/>
      <c r="P25" s="84"/>
    </row>
    <row r="26" spans="1:38" x14ac:dyDescent="0.2">
      <c r="B26" s="3"/>
      <c r="C26" s="3"/>
      <c r="D26" s="6"/>
      <c r="E26" s="6"/>
      <c r="F26" s="3"/>
      <c r="G26" s="3"/>
      <c r="H26" s="3"/>
      <c r="I26" s="3"/>
      <c r="J26" s="6"/>
      <c r="K26" s="6"/>
      <c r="L26" s="5"/>
      <c r="M26" s="84"/>
      <c r="N26" s="84"/>
    </row>
    <row r="27" spans="1:38" x14ac:dyDescent="0.2">
      <c r="B27" s="3"/>
      <c r="C27" s="3"/>
      <c r="D27" s="6"/>
      <c r="E27" s="6"/>
      <c r="F27" s="3"/>
      <c r="G27" s="3"/>
      <c r="H27" s="3"/>
      <c r="I27" s="3"/>
      <c r="J27" s="6"/>
    </row>
    <row r="28" spans="1:38" x14ac:dyDescent="0.2">
      <c r="A28" s="24" t="s">
        <v>0</v>
      </c>
      <c r="B28" s="25" t="s">
        <v>37</v>
      </c>
      <c r="C28" s="27" t="s">
        <v>41</v>
      </c>
      <c r="D28" s="27" t="s">
        <v>42</v>
      </c>
      <c r="E28" s="27" t="s">
        <v>155</v>
      </c>
      <c r="F28" s="84"/>
      <c r="G28" s="84"/>
    </row>
    <row r="29" spans="1:38" x14ac:dyDescent="0.2">
      <c r="A29" s="22"/>
      <c r="B29" s="22"/>
      <c r="C29" s="22" t="s">
        <v>16</v>
      </c>
      <c r="D29" s="22" t="s">
        <v>16</v>
      </c>
      <c r="E29" s="22" t="s">
        <v>16</v>
      </c>
      <c r="F29" s="84"/>
      <c r="G29" s="84">
        <v>0</v>
      </c>
    </row>
    <row r="30" spans="1:38" x14ac:dyDescent="0.2">
      <c r="A30" s="22"/>
      <c r="B30" s="22"/>
      <c r="C30" s="22" t="s">
        <v>43</v>
      </c>
      <c r="D30" s="22" t="s">
        <v>43</v>
      </c>
      <c r="E30" s="22" t="s">
        <v>17</v>
      </c>
      <c r="F30" s="84"/>
      <c r="G30" s="84"/>
    </row>
    <row r="31" spans="1:38" s="1" customFormat="1" x14ac:dyDescent="0.2">
      <c r="A31" s="22"/>
      <c r="B31" s="22"/>
      <c r="C31" s="22"/>
      <c r="D31" s="22" t="s">
        <v>128</v>
      </c>
      <c r="E31" s="22"/>
      <c r="F31" s="84"/>
      <c r="G31" s="84"/>
      <c r="H31"/>
      <c r="I31"/>
      <c r="J31"/>
      <c r="K31"/>
    </row>
    <row r="32" spans="1:38" s="1" customFormat="1" x14ac:dyDescent="0.2">
      <c r="A32" s="22"/>
      <c r="B32" s="22"/>
      <c r="C32" s="22" t="s">
        <v>148</v>
      </c>
      <c r="D32" s="22" t="s">
        <v>148</v>
      </c>
      <c r="E32" s="22"/>
      <c r="F32" s="108"/>
      <c r="G32" s="108"/>
    </row>
    <row r="33" spans="1:39" s="1" customFormat="1" x14ac:dyDescent="0.2">
      <c r="A33" s="28"/>
      <c r="B33" s="28"/>
      <c r="C33" s="28"/>
      <c r="D33" s="28"/>
      <c r="E33" s="28"/>
    </row>
    <row r="34" spans="1:39" s="1" customFormat="1" x14ac:dyDescent="0.2">
      <c r="A34" s="22"/>
      <c r="B34" s="22"/>
      <c r="C34" s="22"/>
      <c r="D34" s="22"/>
      <c r="E34" s="22"/>
    </row>
    <row r="35" spans="1:39" s="1" customFormat="1" x14ac:dyDescent="0.2">
      <c r="A35" s="37" t="s">
        <v>81</v>
      </c>
      <c r="B35" s="39"/>
      <c r="C35" s="119">
        <v>5.5</v>
      </c>
      <c r="D35" s="119">
        <v>3</v>
      </c>
      <c r="E35" s="119">
        <v>0.7</v>
      </c>
      <c r="H35" s="1" t="s">
        <v>184</v>
      </c>
    </row>
    <row r="36" spans="1:39" s="1" customFormat="1" x14ac:dyDescent="0.2">
      <c r="A36" s="85" t="s">
        <v>82</v>
      </c>
      <c r="B36" s="86"/>
      <c r="C36" s="119">
        <v>12.8</v>
      </c>
      <c r="D36" s="119">
        <v>8</v>
      </c>
      <c r="E36" s="119">
        <v>1</v>
      </c>
    </row>
    <row r="37" spans="1:39" s="1" customFormat="1" x14ac:dyDescent="0.2">
      <c r="A37" s="85" t="s">
        <v>83</v>
      </c>
      <c r="B37" s="86"/>
      <c r="C37" s="120">
        <v>0.9</v>
      </c>
      <c r="D37" s="120">
        <v>0.9</v>
      </c>
      <c r="E37" s="120">
        <v>0.85</v>
      </c>
    </row>
    <row r="38" spans="1:39" s="1" customFormat="1" x14ac:dyDescent="0.2">
      <c r="A38" s="85"/>
      <c r="B38" s="86"/>
      <c r="C38" s="86"/>
      <c r="D38" s="86"/>
      <c r="E38" s="86"/>
    </row>
    <row r="39" spans="1:39" s="1" customFormat="1" x14ac:dyDescent="0.2">
      <c r="A39" s="85" t="s">
        <v>7</v>
      </c>
      <c r="B39" s="86"/>
      <c r="C39" s="87">
        <v>35000</v>
      </c>
      <c r="D39" s="87">
        <v>35000</v>
      </c>
      <c r="E39" s="87">
        <v>42000</v>
      </c>
    </row>
    <row r="40" spans="1:39" s="1" customFormat="1" x14ac:dyDescent="0.2">
      <c r="A40" s="37" t="s">
        <v>40</v>
      </c>
      <c r="B40" s="39"/>
      <c r="C40" s="88">
        <v>-9330</v>
      </c>
      <c r="D40" s="88">
        <v>-9330</v>
      </c>
      <c r="E40" s="88">
        <v>-9330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x14ac:dyDescent="0.2">
      <c r="A41" s="37" t="s">
        <v>38</v>
      </c>
      <c r="B41" s="39"/>
      <c r="C41" s="39"/>
      <c r="D41" s="39"/>
      <c r="E41" s="39"/>
      <c r="F41" s="3"/>
      <c r="G41" s="3"/>
      <c r="H41" s="3"/>
      <c r="I41" s="3"/>
      <c r="J41" s="3"/>
      <c r="K41" s="3"/>
    </row>
    <row r="42" spans="1:39" s="1" customFormat="1" x14ac:dyDescent="0.2">
      <c r="A42" s="37" t="s">
        <v>39</v>
      </c>
      <c r="B42" s="39"/>
      <c r="C42" s="88">
        <v>2000</v>
      </c>
      <c r="D42" s="88">
        <v>2000</v>
      </c>
      <c r="E42" s="88">
        <v>2000</v>
      </c>
    </row>
    <row r="43" spans="1:39" s="1" customFormat="1" x14ac:dyDescent="0.2">
      <c r="A43" s="37" t="s">
        <v>6</v>
      </c>
      <c r="B43" s="39"/>
      <c r="C43" s="39"/>
      <c r="D43" s="39"/>
      <c r="E43" s="39"/>
    </row>
    <row r="44" spans="1:39" s="1" customFormat="1" x14ac:dyDescent="0.2">
      <c r="A44" s="37" t="s">
        <v>11</v>
      </c>
      <c r="B44" s="39"/>
      <c r="C44" s="39"/>
      <c r="D44" s="39"/>
      <c r="E44" s="39"/>
    </row>
    <row r="45" spans="1:39" s="1" customFormat="1" x14ac:dyDescent="0.2">
      <c r="A45" s="37" t="s">
        <v>8</v>
      </c>
      <c r="B45" s="39"/>
      <c r="C45" s="88">
        <v>1000</v>
      </c>
      <c r="D45" s="88">
        <v>1000</v>
      </c>
      <c r="E45" s="88">
        <v>1000</v>
      </c>
    </row>
    <row r="46" spans="1:39" s="1" customFormat="1" x14ac:dyDescent="0.2">
      <c r="A46" s="37" t="s">
        <v>9</v>
      </c>
      <c r="B46" s="39"/>
      <c r="C46" s="39">
        <f>IF(B7&gt;0,0,2000)</f>
        <v>2000</v>
      </c>
      <c r="D46" s="39">
        <f>IF(B7&gt;0,0,2000)</f>
        <v>2000</v>
      </c>
      <c r="E46" s="39">
        <f>IF(B7&gt;0,0,2000)</f>
        <v>2000</v>
      </c>
    </row>
    <row r="47" spans="1:39" s="1" customFormat="1" x14ac:dyDescent="0.2">
      <c r="A47" s="37" t="s">
        <v>10</v>
      </c>
      <c r="B47" s="39"/>
      <c r="C47" s="88">
        <v>1500</v>
      </c>
      <c r="D47" s="88">
        <v>1500</v>
      </c>
      <c r="E47" s="88">
        <v>1500</v>
      </c>
    </row>
    <row r="48" spans="1:39" s="1" customFormat="1" x14ac:dyDescent="0.2">
      <c r="A48" s="89" t="s">
        <v>12</v>
      </c>
      <c r="B48" s="90"/>
      <c r="C48" s="90"/>
      <c r="D48" s="90"/>
      <c r="E48" s="90"/>
    </row>
    <row r="49" spans="1:11" s="1" customFormat="1" x14ac:dyDescent="0.2">
      <c r="A49" s="29" t="s">
        <v>1</v>
      </c>
      <c r="B49" s="30">
        <f t="shared" ref="B49:E49" si="0">SUM(B39:B48)</f>
        <v>0</v>
      </c>
      <c r="C49" s="30">
        <f t="shared" si="0"/>
        <v>32170</v>
      </c>
      <c r="D49" s="30">
        <f t="shared" ref="D49" si="1">SUM(D39:D48)</f>
        <v>32170</v>
      </c>
      <c r="E49" s="30">
        <f t="shared" si="0"/>
        <v>39170</v>
      </c>
    </row>
    <row r="50" spans="1:11" s="1" customFormat="1" x14ac:dyDescent="0.2">
      <c r="A50" s="24" t="s">
        <v>168</v>
      </c>
      <c r="B50" s="98"/>
      <c r="C50" s="39"/>
      <c r="D50" s="39"/>
      <c r="E50" s="88">
        <v>30000</v>
      </c>
    </row>
    <row r="51" spans="1:11" s="1" customFormat="1" x14ac:dyDescent="0.2">
      <c r="A51" s="24" t="s">
        <v>169</v>
      </c>
      <c r="B51" s="98"/>
      <c r="C51" s="39"/>
      <c r="D51" s="39"/>
      <c r="E51" s="120">
        <v>0.7</v>
      </c>
    </row>
    <row r="52" spans="1:11" s="1" customFormat="1" x14ac:dyDescent="0.2">
      <c r="A52" s="24" t="s">
        <v>69</v>
      </c>
      <c r="B52" s="98"/>
      <c r="C52" s="98"/>
      <c r="D52" s="98"/>
      <c r="E52" s="98">
        <f>IF(B25="n",0,IF(E39+E42+E45+E46+E47&gt;E50,E50,E39+E42+E45+E46+E47))</f>
        <v>30000</v>
      </c>
    </row>
    <row r="53" spans="1:11" x14ac:dyDescent="0.2">
      <c r="A53" s="24" t="s">
        <v>70</v>
      </c>
      <c r="B53" s="98"/>
      <c r="C53" s="98"/>
      <c r="D53" s="98"/>
      <c r="E53" s="98">
        <f>E52*E51</f>
        <v>21000</v>
      </c>
      <c r="F53" s="1"/>
      <c r="G53" s="1"/>
      <c r="H53" s="1"/>
      <c r="I53" s="1"/>
      <c r="J53" s="1"/>
      <c r="K53" s="1"/>
    </row>
    <row r="54" spans="1:11" x14ac:dyDescent="0.2">
      <c r="A54" s="24" t="s">
        <v>72</v>
      </c>
      <c r="B54" s="98"/>
      <c r="C54" s="98">
        <f>IF( C35&lt;=2,2400*C35,0)</f>
        <v>0</v>
      </c>
      <c r="D54" s="98">
        <f t="shared" ref="D54" si="2">IF( D35&lt;=2,2400*D35,0)</f>
        <v>0</v>
      </c>
      <c r="E54" s="98">
        <f>IF(B25="a",0,IF( E35&lt;=2,2400*E35,0))</f>
        <v>0</v>
      </c>
    </row>
    <row r="55" spans="1:11" x14ac:dyDescent="0.2">
      <c r="A55" s="24" t="s">
        <v>73</v>
      </c>
      <c r="B55" s="98"/>
      <c r="C55" s="80"/>
      <c r="D55" s="80"/>
      <c r="E55" s="80"/>
    </row>
    <row r="56" spans="1:11" x14ac:dyDescent="0.2">
      <c r="A56" s="35" t="s">
        <v>5</v>
      </c>
      <c r="B56" s="79">
        <f>B53+B54+B55</f>
        <v>0</v>
      </c>
      <c r="C56" s="79">
        <f t="shared" ref="C56:E56" si="3">C53+C54+C55</f>
        <v>0</v>
      </c>
      <c r="D56" s="79">
        <f t="shared" ref="D56" si="4">D53+D54+D55</f>
        <v>0</v>
      </c>
      <c r="E56" s="79">
        <f t="shared" si="3"/>
        <v>21000</v>
      </c>
    </row>
    <row r="57" spans="1:11" x14ac:dyDescent="0.2">
      <c r="A57" s="22" t="s">
        <v>13</v>
      </c>
      <c r="B57" s="23">
        <f t="shared" ref="B57" si="5">B49-B56</f>
        <v>0</v>
      </c>
      <c r="C57" s="23">
        <f t="shared" ref="C57:E57" si="6">C49-C56</f>
        <v>32170</v>
      </c>
      <c r="D57" s="23">
        <f t="shared" ref="D57" si="7">D49-D56</f>
        <v>32170</v>
      </c>
      <c r="E57" s="23">
        <f t="shared" si="6"/>
        <v>18170</v>
      </c>
    </row>
    <row r="58" spans="1:11" x14ac:dyDescent="0.2">
      <c r="A58" s="29" t="s">
        <v>52</v>
      </c>
      <c r="B58" s="30">
        <v>0</v>
      </c>
      <c r="C58" s="98">
        <f>C57-$B$57</f>
        <v>32170</v>
      </c>
      <c r="D58" s="98">
        <f>D57-$B$57</f>
        <v>32170</v>
      </c>
      <c r="E58" s="98">
        <f>E57-$B$57</f>
        <v>18170</v>
      </c>
    </row>
    <row r="59" spans="1:11" x14ac:dyDescent="0.2">
      <c r="A59" s="24" t="s">
        <v>79</v>
      </c>
      <c r="B59" s="36">
        <f>10*ROUND((B6*10.6+B7+B8*E16+B9*E17+B10-B11)*B13/10,0)</f>
        <v>17520</v>
      </c>
      <c r="C59" s="36">
        <f>B59</f>
        <v>17520</v>
      </c>
      <c r="D59" s="36">
        <f>C59</f>
        <v>17520</v>
      </c>
      <c r="E59" s="36">
        <f>C59</f>
        <v>17520</v>
      </c>
    </row>
    <row r="60" spans="1:11" x14ac:dyDescent="0.2">
      <c r="A60" s="35" t="s">
        <v>80</v>
      </c>
      <c r="B60" s="36">
        <f>B11-B12</f>
        <v>1600</v>
      </c>
      <c r="C60" s="36">
        <f>B60</f>
        <v>1600</v>
      </c>
      <c r="D60" s="36">
        <f>C60</f>
        <v>1600</v>
      </c>
      <c r="E60" s="36">
        <f>C60</f>
        <v>1600</v>
      </c>
    </row>
    <row r="61" spans="1:11" x14ac:dyDescent="0.2">
      <c r="A61" s="37" t="s">
        <v>141</v>
      </c>
      <c r="B61" s="38"/>
      <c r="C61" s="38">
        <f>Berechnung!C31</f>
        <v>30370</v>
      </c>
      <c r="D61" s="38">
        <f>Berechnung!C66</f>
        <v>21990</v>
      </c>
      <c r="E61" s="38"/>
    </row>
    <row r="62" spans="1:11" x14ac:dyDescent="0.2">
      <c r="A62" s="37" t="s">
        <v>142</v>
      </c>
      <c r="B62" s="38"/>
      <c r="C62" s="38">
        <v>0</v>
      </c>
      <c r="D62" s="38">
        <v>0</v>
      </c>
      <c r="E62" s="38">
        <f>Berechnung!C101</f>
        <v>21090</v>
      </c>
    </row>
    <row r="63" spans="1:11" x14ac:dyDescent="0.2">
      <c r="A63" s="37" t="s">
        <v>51</v>
      </c>
      <c r="B63" s="38">
        <f>B24</f>
        <v>4000</v>
      </c>
      <c r="C63" s="38">
        <f>B63</f>
        <v>4000</v>
      </c>
      <c r="D63" s="38">
        <f>C63</f>
        <v>4000</v>
      </c>
      <c r="E63" s="38">
        <f>C63</f>
        <v>4000</v>
      </c>
      <c r="H63" s="3"/>
    </row>
    <row r="64" spans="1:11" x14ac:dyDescent="0.2">
      <c r="A64" s="37" t="s">
        <v>20</v>
      </c>
      <c r="B64" s="38">
        <f>10*ROUND((B6*10.6+B7+B8*$E$16+B9*$E$17+B10+B63)/10,0)</f>
        <v>30500</v>
      </c>
      <c r="C64" s="38">
        <f>C61</f>
        <v>30370</v>
      </c>
      <c r="D64" s="38">
        <f>D61</f>
        <v>21990</v>
      </c>
      <c r="E64" s="38">
        <f>E62</f>
        <v>21090</v>
      </c>
    </row>
    <row r="65" spans="1:12" x14ac:dyDescent="0.2">
      <c r="A65" s="37" t="s">
        <v>46</v>
      </c>
      <c r="B65" s="39">
        <f>10*ROUND((B6*$B$14*100+B7*$B$15+B8*$B$16+B9*$B$17+B10*$B$20+B63*$B$19)/1000,0)</f>
        <v>5100</v>
      </c>
      <c r="C65" s="39">
        <f>10*ROUND((C61*$B$15+C63*$B$19)/1000,0)</f>
        <v>5240</v>
      </c>
      <c r="D65" s="39">
        <f>10*ROUND((D61*$B$15+D63*$B$19)/1000,0)</f>
        <v>4240</v>
      </c>
      <c r="E65" s="39">
        <f>10*ROUND((E62*$B$18+E63*$B$19)/1000,0)</f>
        <v>4130</v>
      </c>
    </row>
    <row r="66" spans="1:12" x14ac:dyDescent="0.2">
      <c r="A66" s="37" t="s">
        <v>47</v>
      </c>
      <c r="B66" s="81">
        <f>'Haustechnikvarianten gesamt'!B52</f>
        <v>0</v>
      </c>
      <c r="C66" s="81">
        <f>Berechnung!C33</f>
        <v>8220</v>
      </c>
      <c r="D66" s="81">
        <f>Berechnung!C68</f>
        <v>2990</v>
      </c>
      <c r="E66" s="81">
        <f>Berechnung!C103</f>
        <v>2350</v>
      </c>
    </row>
    <row r="67" spans="1:12" x14ac:dyDescent="0.2">
      <c r="A67" s="37" t="s">
        <v>53</v>
      </c>
      <c r="B67" s="81">
        <f>'Haustechnikvarianten gesamt'!B53</f>
        <v>0</v>
      </c>
      <c r="C67" s="81">
        <f>Berechnung!C34</f>
        <v>2920</v>
      </c>
      <c r="D67" s="81">
        <f>Berechnung!C69</f>
        <v>2990</v>
      </c>
      <c r="E67" s="81">
        <f>Berechnung!C104</f>
        <v>2350</v>
      </c>
    </row>
    <row r="68" spans="1:12" x14ac:dyDescent="0.2">
      <c r="A68" s="37" t="s">
        <v>48</v>
      </c>
      <c r="B68" s="82">
        <f>10*ROUND(((B66-B67)*0.12+B67*$B$19/100)/10,0)</f>
        <v>0</v>
      </c>
      <c r="C68" s="82">
        <f>IF(C35&lt;=2,10*ROUND(((C66-C67)*$B$21/100+C67*$B$19/100)/10,0),10*ROUND(((C66-C67)*(0.16+$B$21/100)+C67*($B$19+8)/100)/10,0))</f>
        <v>2990</v>
      </c>
      <c r="D68" s="82">
        <f>IF(D35&lt;=2,10*ROUND(((D66-D67)*$B$21/100+D67*$B$19/100)/10,0),10*ROUND(((D66-D67)*(0.16+$B$21/100)+D67*($B$19+8)/100)/10,0))</f>
        <v>1440</v>
      </c>
      <c r="E68" s="82">
        <f>10*ROUND(((E66-E67)*$B$21/100+E67*$B$19/100)/10,0)</f>
        <v>940</v>
      </c>
    </row>
    <row r="69" spans="1:12" x14ac:dyDescent="0.2">
      <c r="A69" s="22" t="s">
        <v>49</v>
      </c>
      <c r="B69" s="78">
        <v>200</v>
      </c>
      <c r="C69" s="82">
        <f>10*ROUND($B$22*C66/1000,0)</f>
        <v>330</v>
      </c>
      <c r="D69" s="82">
        <f>10*ROUND($B$22*D66/1000,0)</f>
        <v>120</v>
      </c>
      <c r="E69" s="82">
        <f>10*ROUND($B$22*E66/1000,0)</f>
        <v>90</v>
      </c>
    </row>
    <row r="70" spans="1:12" x14ac:dyDescent="0.2">
      <c r="A70" s="22" t="s">
        <v>163</v>
      </c>
      <c r="B70" s="78"/>
      <c r="C70" s="78"/>
      <c r="D70" s="78"/>
      <c r="E70" s="78"/>
    </row>
    <row r="71" spans="1:12" x14ac:dyDescent="0.2">
      <c r="A71" s="40" t="s">
        <v>50</v>
      </c>
      <c r="B71" s="41">
        <f>B65+B69-B68+B70</f>
        <v>5300</v>
      </c>
      <c r="C71" s="41">
        <f t="shared" ref="C71:E71" si="8">C65+C69-C68+C70</f>
        <v>2580</v>
      </c>
      <c r="D71" s="41">
        <f t="shared" si="8"/>
        <v>2920</v>
      </c>
      <c r="E71" s="41">
        <f t="shared" si="8"/>
        <v>3280</v>
      </c>
    </row>
    <row r="72" spans="1:12" x14ac:dyDescent="0.2">
      <c r="A72" s="40" t="s">
        <v>144</v>
      </c>
      <c r="B72" s="41"/>
      <c r="C72" s="124">
        <f>ROUND((30000*C35/C66),0)</f>
        <v>20</v>
      </c>
      <c r="D72" s="124">
        <f>ROUND((30000*D35/D66),0)</f>
        <v>30</v>
      </c>
      <c r="E72" s="124"/>
    </row>
    <row r="73" spans="1:12" x14ac:dyDescent="0.2">
      <c r="A73" s="40" t="s">
        <v>145</v>
      </c>
      <c r="B73" s="41"/>
      <c r="C73" s="41">
        <f>IF(C72&gt;=20,0,C71+10*ROUND((0.16*(C66-C67)+0.08*C67)/10,0))</f>
        <v>0</v>
      </c>
      <c r="D73" s="41">
        <f>IF(D72&gt;=20,0,D71+10*ROUND((0.16*(D66-D67)+0.08*D67)/10,0))</f>
        <v>0</v>
      </c>
      <c r="E73" s="41"/>
    </row>
    <row r="74" spans="1:12" x14ac:dyDescent="0.2">
      <c r="A74" s="29" t="s">
        <v>2</v>
      </c>
      <c r="B74" s="42">
        <v>0</v>
      </c>
      <c r="C74" s="42">
        <f>IF((C72&gt;20),-C58-20*(C71-$B$71),-C58-20*(C71-$B$71)-ROUND((20-C72),0)*10*ROUND((0.16*(C66-C67)+0.08*C67)/10,0))</f>
        <v>22230</v>
      </c>
      <c r="D74" s="42">
        <f>IF((D72&gt;20),-D58-20*(D71-$B$71),-D58-20*(D71-$B$71)-ROUND((20-D72),0)*10*ROUND((0.16*(D66-D67)+0.08*D67)/10,0))</f>
        <v>15430</v>
      </c>
      <c r="E74" s="42">
        <f>-E58-20*(E71-$B$71)</f>
        <v>22230</v>
      </c>
    </row>
    <row r="75" spans="1:12" x14ac:dyDescent="0.2">
      <c r="A75" s="29" t="s">
        <v>18</v>
      </c>
      <c r="B75" s="83"/>
      <c r="C75" s="44">
        <f>IF((C72&gt;=20),IF((($B$71-C71)=0),IF((C58&lt;=0),"sofort","nie"),IF((C58/($B$71-C71)&lt;=0),IF((C58&lt;=0),"sofort","nie"),C58/($B$71-C71))),IF((C58/(B71-C71)&lt;=C72),C58/(B71-C71),IF(($B$71-C73&lt;=0),"nie",(C58+C72*(C71-C73))/($B$71-C73))))</f>
        <v>11.827205882352942</v>
      </c>
      <c r="D75" s="44">
        <f>IF((D72&gt;=20),IF((($B$71-D71)=0),IF((D58&lt;=0),"sofort","nie"),IF((D58/($B$71-D71)&lt;=0),IF((D58&lt;=0),"sofort","nie"),D58/($B$71-D71))),IF((D58/(C71-D71)&lt;=D72),D58/(C71-D71),IF(($B$71-D73&lt;=0),"nie",(D58+D72*(D71-D73))/($B$71-D73))))</f>
        <v>13.516806722689076</v>
      </c>
      <c r="E75" s="44">
        <f>IF((($B$71-E71)=0),IF((E58&lt;=0),"sofort","nie"),IF((E58/($B$71-E71)&lt;=0),IF((E58&lt;=0),"sofort","nie"),E58/($B$71-E71)))</f>
        <v>8.9950495049504955</v>
      </c>
    </row>
    <row r="76" spans="1:12" x14ac:dyDescent="0.2">
      <c r="A76" s="29" t="s">
        <v>19</v>
      </c>
      <c r="B76" s="45">
        <f>ROUND((B6*10.6*$K$12+B7*$K$13+B8*$E$16*$K$16+B9*$E$17*$K$17+B10*$K$15+B63*$K$15)/1000,1)</f>
        <v>10.5</v>
      </c>
      <c r="C76" s="45">
        <f>ROUND((C61*$K$13+(C63-C66)*$K$15)/1000,1)</f>
        <v>4.9000000000000004</v>
      </c>
      <c r="D76" s="45">
        <f>ROUND((D61*$K$13+(D63-D66)*$K$15)/1000,1)</f>
        <v>5.8</v>
      </c>
      <c r="E76" s="45">
        <f>ROUND((E62*$K$14+(E63-E66)*$K$15)/1000,1)</f>
        <v>4.0999999999999996</v>
      </c>
    </row>
    <row r="77" spans="1:12" x14ac:dyDescent="0.2">
      <c r="A77" s="29" t="s">
        <v>3</v>
      </c>
      <c r="B77" s="46">
        <v>0</v>
      </c>
      <c r="C77" s="46">
        <v>0</v>
      </c>
      <c r="D77" s="46">
        <v>0</v>
      </c>
      <c r="E77" s="46">
        <v>0</v>
      </c>
      <c r="F77" s="4"/>
      <c r="G77" s="4"/>
      <c r="H77" s="4"/>
    </row>
    <row r="78" spans="1:12" x14ac:dyDescent="0.2">
      <c r="A78" s="29" t="s">
        <v>4</v>
      </c>
      <c r="B78" s="46">
        <f>B67/$B$24</f>
        <v>0</v>
      </c>
      <c r="C78" s="46">
        <f>C67/$B$24</f>
        <v>0.73</v>
      </c>
      <c r="D78" s="46">
        <f t="shared" ref="D78:E78" si="9">D67/$B$24</f>
        <v>0.74750000000000005</v>
      </c>
      <c r="E78" s="46">
        <f t="shared" si="9"/>
        <v>0.58750000000000002</v>
      </c>
      <c r="F78" s="4"/>
      <c r="G78" s="4"/>
      <c r="H78" s="4"/>
    </row>
    <row r="79" spans="1:12" x14ac:dyDescent="0.2">
      <c r="A79" s="157" t="s">
        <v>173</v>
      </c>
      <c r="B79" s="114">
        <f>B64/$B$23</f>
        <v>254.16666666666666</v>
      </c>
      <c r="C79" s="114">
        <f>C64/$B$23</f>
        <v>253.08333333333334</v>
      </c>
      <c r="D79" s="114">
        <f>D64/$B$23</f>
        <v>183.25</v>
      </c>
      <c r="E79" s="114">
        <f>E64/$B$23</f>
        <v>175.75</v>
      </c>
      <c r="F79" s="4"/>
      <c r="G79" s="4"/>
      <c r="H79" s="4"/>
    </row>
    <row r="80" spans="1:12" x14ac:dyDescent="0.2">
      <c r="D80" s="6"/>
      <c r="E80" s="6"/>
      <c r="F80" s="6"/>
      <c r="G80" s="6"/>
      <c r="H80" s="6"/>
      <c r="L80" s="3"/>
    </row>
    <row r="81" spans="2:16" x14ac:dyDescent="0.2">
      <c r="B81" s="58"/>
      <c r="C81" s="49" t="s">
        <v>54</v>
      </c>
      <c r="D81" s="49"/>
      <c r="E81" s="49"/>
      <c r="F81" s="59"/>
      <c r="G81" s="60" t="s">
        <v>55</v>
      </c>
      <c r="H81" s="49"/>
      <c r="I81" s="50"/>
    </row>
    <row r="82" spans="2:16" x14ac:dyDescent="0.2">
      <c r="B82" s="61"/>
      <c r="C82" t="s">
        <v>56</v>
      </c>
      <c r="F82" s="62"/>
      <c r="G82" t="s">
        <v>57</v>
      </c>
      <c r="I82" s="53"/>
    </row>
    <row r="83" spans="2:16" x14ac:dyDescent="0.2">
      <c r="B83" s="63"/>
      <c r="C83" t="s">
        <v>58</v>
      </c>
      <c r="F83" s="64"/>
      <c r="G83" t="s">
        <v>59</v>
      </c>
      <c r="I83" s="53"/>
    </row>
    <row r="84" spans="2:16" x14ac:dyDescent="0.2">
      <c r="B84" s="65"/>
      <c r="C84" s="56" t="s">
        <v>60</v>
      </c>
      <c r="D84" s="56"/>
      <c r="E84" s="56"/>
      <c r="F84" s="56"/>
      <c r="G84" s="56"/>
      <c r="H84" s="56"/>
      <c r="I84" s="57"/>
    </row>
    <row r="86" spans="2:16" x14ac:dyDescent="0.2">
      <c r="B86" s="135"/>
      <c r="C86" s="48" t="s">
        <v>68</v>
      </c>
      <c r="D86" s="49"/>
      <c r="E86" s="49"/>
      <c r="F86" s="50"/>
      <c r="P86" s="106"/>
    </row>
    <row r="87" spans="2:16" x14ac:dyDescent="0.2">
      <c r="B87" s="51" t="s">
        <v>64</v>
      </c>
      <c r="C87" s="52" t="s">
        <v>66</v>
      </c>
      <c r="F87" s="53"/>
    </row>
    <row r="88" spans="2:16" x14ac:dyDescent="0.2">
      <c r="B88" s="54" t="s">
        <v>65</v>
      </c>
      <c r="C88" s="55" t="s">
        <v>67</v>
      </c>
      <c r="D88" s="56"/>
      <c r="E88" s="56"/>
      <c r="F88" s="57"/>
    </row>
    <row r="90" spans="2:16" x14ac:dyDescent="0.2">
      <c r="B90" s="125" t="s">
        <v>146</v>
      </c>
      <c r="C90" s="126"/>
      <c r="D90" s="126"/>
      <c r="E90" s="126"/>
      <c r="F90" s="126"/>
      <c r="G90" s="126"/>
      <c r="H90" s="126"/>
      <c r="I90" s="127"/>
    </row>
    <row r="91" spans="2:16" x14ac:dyDescent="0.2">
      <c r="B91" s="128" t="s">
        <v>183</v>
      </c>
      <c r="C91" s="129"/>
      <c r="D91" s="129"/>
      <c r="E91" s="129"/>
      <c r="F91" s="129"/>
      <c r="G91" s="129"/>
      <c r="H91" s="129"/>
      <c r="I91" s="130"/>
    </row>
    <row r="92" spans="2:16" x14ac:dyDescent="0.2">
      <c r="B92" s="131" t="s">
        <v>147</v>
      </c>
      <c r="C92" s="132"/>
      <c r="D92" s="132"/>
      <c r="E92" s="132"/>
      <c r="F92" s="132"/>
      <c r="G92" s="132"/>
      <c r="H92" s="132"/>
      <c r="I92" s="133"/>
    </row>
    <row r="94" spans="2:16" x14ac:dyDescent="0.2">
      <c r="B94" t="s">
        <v>177</v>
      </c>
    </row>
    <row r="96" spans="2:16" x14ac:dyDescent="0.2">
      <c r="B96" s="150" t="s">
        <v>178</v>
      </c>
      <c r="C96" s="151" t="s">
        <v>178</v>
      </c>
      <c r="D96" s="152" t="s">
        <v>179</v>
      </c>
      <c r="E96" s="153" t="s">
        <v>179</v>
      </c>
      <c r="F96" s="154" t="s">
        <v>180</v>
      </c>
    </row>
    <row r="97" spans="2:6" x14ac:dyDescent="0.2">
      <c r="B97" s="155"/>
      <c r="C97" s="151" t="s">
        <v>181</v>
      </c>
      <c r="D97" s="152"/>
      <c r="E97" s="153" t="s">
        <v>182</v>
      </c>
      <c r="F97" s="149"/>
    </row>
  </sheetData>
  <sheetProtection algorithmName="SHA-512" hashValue="UvPeAsNIp83uNEkm2MmckLNtE5v4EPIep3Mlly1x7zu16zinOfgKiY5BP9BIdB04ckW0ge2UuQAvdzsEvzgc7A==" saltValue="emejQEcFxgWNrZRnsKWRVg==" spinCount="100000" sheet="1" objects="1" scenarios="1" selectLockedCells="1"/>
  <conditionalFormatting sqref="B6:B12">
    <cfRule type="cellIs" dxfId="27" priority="124" stopIfTrue="1" operator="notBetween">
      <formula>0</formula>
      <formula>100000</formula>
    </cfRule>
  </conditionalFormatting>
  <conditionalFormatting sqref="B13">
    <cfRule type="cellIs" dxfId="26" priority="14" operator="notBetween">
      <formula>0.5</formula>
      <formula>1</formula>
    </cfRule>
  </conditionalFormatting>
  <conditionalFormatting sqref="B14">
    <cfRule type="cellIs" dxfId="25" priority="51" stopIfTrue="1" operator="notBetween">
      <formula>0</formula>
      <formula>10</formula>
    </cfRule>
  </conditionalFormatting>
  <conditionalFormatting sqref="B15 B18">
    <cfRule type="cellIs" dxfId="24" priority="19" operator="notBetween">
      <formula>3</formula>
      <formula>100</formula>
    </cfRule>
  </conditionalFormatting>
  <conditionalFormatting sqref="B16">
    <cfRule type="cellIs" dxfId="23" priority="12" stopIfTrue="1" operator="notBetween">
      <formula>10</formula>
      <formula>1000</formula>
    </cfRule>
  </conditionalFormatting>
  <conditionalFormatting sqref="B17">
    <cfRule type="cellIs" dxfId="22" priority="11" stopIfTrue="1" operator="notBetween">
      <formula>150</formula>
      <formula>1000</formula>
    </cfRule>
  </conditionalFormatting>
  <conditionalFormatting sqref="B21:B22">
    <cfRule type="cellIs" dxfId="21" priority="84" stopIfTrue="1" operator="notBetween">
      <formula>0</formula>
      <formula>50</formula>
    </cfRule>
  </conditionalFormatting>
  <conditionalFormatting sqref="B23">
    <cfRule type="cellIs" dxfId="20" priority="83" stopIfTrue="1" operator="notBetween">
      <formula>10</formula>
      <formula>1000</formula>
    </cfRule>
  </conditionalFormatting>
  <conditionalFormatting sqref="B24">
    <cfRule type="cellIs" dxfId="19" priority="82" stopIfTrue="1" operator="notBetween">
      <formula>1000</formula>
      <formula>10000</formula>
    </cfRule>
  </conditionalFormatting>
  <conditionalFormatting sqref="B86">
    <cfRule type="cellIs" dxfId="18" priority="17" stopIfTrue="1" operator="notBetween">
      <formula>60</formula>
      <formula>140</formula>
    </cfRule>
  </conditionalFormatting>
  <conditionalFormatting sqref="B58:E58">
    <cfRule type="cellIs" dxfId="17" priority="22" operator="lessThan">
      <formula>0</formula>
    </cfRule>
    <cfRule type="cellIs" dxfId="16" priority="23" stopIfTrue="1" operator="lessThanOrEqual">
      <formula>5000</formula>
    </cfRule>
  </conditionalFormatting>
  <conditionalFormatting sqref="B71:E71">
    <cfRule type="cellIs" dxfId="15" priority="92" operator="lessThanOrEqual">
      <formula>1500</formula>
    </cfRule>
    <cfRule type="cellIs" dxfId="14" priority="93" operator="greaterThan">
      <formula>$B$71</formula>
    </cfRule>
  </conditionalFormatting>
  <conditionalFormatting sqref="B74:E74">
    <cfRule type="cellIs" dxfId="13" priority="44" stopIfTrue="1" operator="greaterThanOrEqual">
      <formula>5000</formula>
    </cfRule>
  </conditionalFormatting>
  <conditionalFormatting sqref="B76:E76">
    <cfRule type="cellIs" dxfId="12" priority="98" operator="lessThanOrEqual">
      <formula>2</formula>
    </cfRule>
    <cfRule type="cellIs" dxfId="11" priority="99" operator="greaterThan">
      <formula>$B$76</formula>
    </cfRule>
  </conditionalFormatting>
  <conditionalFormatting sqref="B79:E79">
    <cfRule type="cellIs" dxfId="10" priority="4" operator="greaterThan">
      <formula>220</formula>
    </cfRule>
    <cfRule type="cellIs" dxfId="9" priority="5" operator="between">
      <formula>180</formula>
      <formula>220</formula>
    </cfRule>
    <cfRule type="cellIs" dxfId="8" priority="6" operator="between">
      <formula>100</formula>
      <formula>180</formula>
    </cfRule>
    <cfRule type="cellIs" dxfId="7" priority="7" operator="between">
      <formula>80</formula>
      <formula>100</formula>
    </cfRule>
    <cfRule type="cellIs" dxfId="6" priority="8" operator="lessThan">
      <formula>80</formula>
    </cfRule>
  </conditionalFormatting>
  <conditionalFormatting sqref="B77:H77">
    <cfRule type="cellIs" dxfId="5" priority="36" stopIfTrue="1" operator="greaterThanOrEqual">
      <formula>0.5</formula>
    </cfRule>
  </conditionalFormatting>
  <conditionalFormatting sqref="B78:H78 F79:H79">
    <cfRule type="cellIs" dxfId="4" priority="35" stopIfTrue="1" operator="greaterThanOrEqual">
      <formula>0.5</formula>
    </cfRule>
  </conditionalFormatting>
  <conditionalFormatting sqref="C75:E75">
    <cfRule type="expression" dxfId="3" priority="125">
      <formula>OR(IF(C$58&gt;0,C$75&lt;=10,C$75&gt;30),C$74="sofort")</formula>
    </cfRule>
    <cfRule type="expression" dxfId="2" priority="126" stopIfTrue="1">
      <formula>C$58&lt;0</formula>
    </cfRule>
  </conditionalFormatting>
  <conditionalFormatting sqref="B19">
    <cfRule type="cellIs" dxfId="1" priority="3" operator="notBetween">
      <formula>20</formula>
      <formula>200</formula>
    </cfRule>
  </conditionalFormatting>
  <conditionalFormatting sqref="B20">
    <cfRule type="cellIs" dxfId="0" priority="2" operator="notBetween">
      <formula>10</formula>
      <formula>200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Q104"/>
  <sheetViews>
    <sheetView workbookViewId="0">
      <selection activeCell="I33" sqref="I33"/>
    </sheetView>
  </sheetViews>
  <sheetFormatPr baseColWidth="10" defaultRowHeight="12.75" x14ac:dyDescent="0.2"/>
  <sheetData>
    <row r="1" spans="1:16" x14ac:dyDescent="0.2">
      <c r="A1" s="52" t="s">
        <v>123</v>
      </c>
    </row>
    <row r="3" spans="1:16" x14ac:dyDescent="0.2">
      <c r="A3" t="s">
        <v>84</v>
      </c>
      <c r="F3" s="110">
        <f>'Haustechnikvarianten berechnen'!C59</f>
        <v>17520</v>
      </c>
      <c r="G3" t="s">
        <v>15</v>
      </c>
    </row>
    <row r="4" spans="1:16" x14ac:dyDescent="0.2">
      <c r="F4" s="110"/>
    </row>
    <row r="5" spans="1:16" x14ac:dyDescent="0.2">
      <c r="A5" t="s">
        <v>85</v>
      </c>
      <c r="F5" s="110">
        <f>'Haustechnikvarianten berechnen'!C60</f>
        <v>1600</v>
      </c>
      <c r="G5" t="s">
        <v>15</v>
      </c>
    </row>
    <row r="6" spans="1:16" x14ac:dyDescent="0.2">
      <c r="F6" s="110"/>
    </row>
    <row r="7" spans="1:16" x14ac:dyDescent="0.2">
      <c r="A7" t="s">
        <v>86</v>
      </c>
      <c r="F7" s="110">
        <f>'Haustechnikvarianten berechnen'!C63</f>
        <v>4000</v>
      </c>
      <c r="G7" t="s">
        <v>87</v>
      </c>
    </row>
    <row r="8" spans="1:16" x14ac:dyDescent="0.2">
      <c r="F8" s="110"/>
    </row>
    <row r="9" spans="1:16" x14ac:dyDescent="0.2">
      <c r="A9" t="s">
        <v>88</v>
      </c>
      <c r="F9" s="111">
        <f>IF(F11&gt;4,1,0.5*(1+F11/4))</f>
        <v>1</v>
      </c>
    </row>
    <row r="10" spans="1:16" x14ac:dyDescent="0.2">
      <c r="A10" t="s">
        <v>89</v>
      </c>
      <c r="F10" s="110">
        <f>IF(F11&gt;4,1,F11/4)</f>
        <v>1</v>
      </c>
    </row>
    <row r="11" spans="1:16" x14ac:dyDescent="0.2">
      <c r="A11" t="s">
        <v>90</v>
      </c>
      <c r="F11">
        <f>'Haustechnikvarianten berechnen'!C35</f>
        <v>5.5</v>
      </c>
      <c r="G11" t="s">
        <v>91</v>
      </c>
    </row>
    <row r="12" spans="1:16" x14ac:dyDescent="0.2">
      <c r="A12" t="s">
        <v>92</v>
      </c>
      <c r="F12">
        <f>'Haustechnikvarianten berechnen'!C36</f>
        <v>12.8</v>
      </c>
      <c r="G12" t="s">
        <v>91</v>
      </c>
    </row>
    <row r="13" spans="1:16" x14ac:dyDescent="0.2">
      <c r="A13" s="52" t="s">
        <v>143</v>
      </c>
      <c r="F13" s="4">
        <f>'Haustechnikvarianten berechnen'!C37</f>
        <v>0.9</v>
      </c>
    </row>
    <row r="14" spans="1:16" x14ac:dyDescent="0.2">
      <c r="A14" t="s">
        <v>93</v>
      </c>
      <c r="F14" s="112">
        <f>(F11+F12)/F13</f>
        <v>20.333333333333332</v>
      </c>
      <c r="G14" t="s">
        <v>91</v>
      </c>
    </row>
    <row r="16" spans="1:16" x14ac:dyDescent="0.2">
      <c r="A16" s="113" t="s">
        <v>94</v>
      </c>
      <c r="B16" s="113" t="s">
        <v>95</v>
      </c>
      <c r="C16" s="113" t="s">
        <v>96</v>
      </c>
      <c r="D16" s="113" t="s">
        <v>97</v>
      </c>
      <c r="E16" s="113" t="s">
        <v>98</v>
      </c>
      <c r="F16" s="113" t="s">
        <v>99</v>
      </c>
      <c r="G16" s="113" t="s">
        <v>100</v>
      </c>
      <c r="H16" s="113" t="s">
        <v>101</v>
      </c>
      <c r="I16" s="113" t="s">
        <v>102</v>
      </c>
      <c r="J16" s="113" t="s">
        <v>103</v>
      </c>
      <c r="K16" s="113" t="s">
        <v>104</v>
      </c>
      <c r="L16" s="113" t="s">
        <v>105</v>
      </c>
      <c r="M16" s="113" t="s">
        <v>106</v>
      </c>
      <c r="N16" s="113" t="s">
        <v>107</v>
      </c>
      <c r="O16" s="113" t="s">
        <v>108</v>
      </c>
      <c r="P16" s="113" t="s">
        <v>109</v>
      </c>
    </row>
    <row r="17" spans="1:16" x14ac:dyDescent="0.2">
      <c r="A17" s="113" t="s">
        <v>110</v>
      </c>
      <c r="B17" s="113">
        <v>31</v>
      </c>
      <c r="C17" s="113">
        <v>170</v>
      </c>
      <c r="D17" s="114">
        <f t="shared" ref="D17:D28" si="0">$F$3*C17/$C$29</f>
        <v>2978.4</v>
      </c>
      <c r="E17" s="114">
        <f t="shared" ref="E17:E28" si="1">$F$5*B17/$B$29</f>
        <v>135.89041095890411</v>
      </c>
      <c r="F17" s="114">
        <f t="shared" ref="F17:F28" si="2">D17+E17</f>
        <v>3114.2904109589044</v>
      </c>
      <c r="G17" s="114">
        <f t="shared" ref="G17:G28" si="3">B17*M17</f>
        <v>243.30393835616437</v>
      </c>
      <c r="H17" s="114">
        <f t="shared" ref="H17:H28" si="4">L17*B17</f>
        <v>3114.2904109589044</v>
      </c>
      <c r="I17" s="110">
        <f t="shared" ref="I17:I28" si="5">F17-H17</f>
        <v>0</v>
      </c>
      <c r="J17" s="115">
        <f t="shared" ref="J17:J28" si="6">F17/B17</f>
        <v>100.46098099867433</v>
      </c>
      <c r="K17" s="114">
        <f t="shared" ref="K17:K28" si="7">$F$7/365</f>
        <v>10.95890410958904</v>
      </c>
      <c r="L17" s="114">
        <f>M17*$F$12</f>
        <v>100.46098099867433</v>
      </c>
      <c r="M17" s="114">
        <f>IF(J17/$F$12&gt;24,24,J17/$F$12)</f>
        <v>7.8485141405214316</v>
      </c>
      <c r="N17" s="114">
        <f t="shared" ref="N17:N28" si="8">L17*$F$11/$F$12*B17</f>
        <v>1338.1716609589041</v>
      </c>
      <c r="O17" s="114">
        <f t="shared" ref="O17:O28" si="9">$F$7/365*B17</f>
        <v>339.72602739726028</v>
      </c>
      <c r="P17" s="114">
        <f>IF(0.5*(M17/24+$F$10)*N17&gt;O17,O17,0.5*(M17/24+$F$10)*N17)</f>
        <v>339.72602739726028</v>
      </c>
    </row>
    <row r="18" spans="1:16" x14ac:dyDescent="0.2">
      <c r="A18" s="113" t="s">
        <v>111</v>
      </c>
      <c r="B18" s="113">
        <v>28</v>
      </c>
      <c r="C18" s="113">
        <v>150</v>
      </c>
      <c r="D18" s="114">
        <f t="shared" si="0"/>
        <v>2628</v>
      </c>
      <c r="E18" s="114">
        <f t="shared" si="1"/>
        <v>122.73972602739725</v>
      </c>
      <c r="F18" s="114">
        <f t="shared" si="2"/>
        <v>2750.7397260273974</v>
      </c>
      <c r="G18" s="114">
        <f t="shared" si="3"/>
        <v>214.90154109589042</v>
      </c>
      <c r="H18" s="114">
        <f t="shared" si="4"/>
        <v>2750.7397260273974</v>
      </c>
      <c r="I18" s="110">
        <f t="shared" si="5"/>
        <v>0</v>
      </c>
      <c r="J18" s="115">
        <f t="shared" si="6"/>
        <v>98.240704500978481</v>
      </c>
      <c r="K18" s="114">
        <f t="shared" si="7"/>
        <v>10.95890410958904</v>
      </c>
      <c r="L18" s="114">
        <f t="shared" ref="L18:L28" si="10">M18*$F$12</f>
        <v>98.240704500978481</v>
      </c>
      <c r="M18" s="114">
        <f t="shared" ref="M18:M28" si="11">IF(J18/$F$12&gt;24,24,J18/$F$12)</f>
        <v>7.6750550391389432</v>
      </c>
      <c r="N18" s="114">
        <f t="shared" si="8"/>
        <v>1181.9584760273974</v>
      </c>
      <c r="O18" s="114">
        <f t="shared" si="9"/>
        <v>306.84931506849313</v>
      </c>
      <c r="P18" s="114">
        <f t="shared" ref="P18:P28" si="12">IF(0.5*(M18/24+$F$10)*N18&gt;O18,O18,0.5*(M18/24+$F$10)*N18)</f>
        <v>306.84931506849313</v>
      </c>
    </row>
    <row r="19" spans="1:16" x14ac:dyDescent="0.2">
      <c r="A19" s="113" t="s">
        <v>112</v>
      </c>
      <c r="B19" s="113">
        <v>31</v>
      </c>
      <c r="C19" s="113">
        <v>130</v>
      </c>
      <c r="D19" s="114">
        <f t="shared" si="0"/>
        <v>2277.6</v>
      </c>
      <c r="E19" s="114">
        <f t="shared" si="1"/>
        <v>135.89041095890411</v>
      </c>
      <c r="F19" s="114">
        <f t="shared" si="2"/>
        <v>2413.4904109589042</v>
      </c>
      <c r="G19" s="114">
        <f t="shared" si="3"/>
        <v>188.55393835616437</v>
      </c>
      <c r="H19" s="114">
        <f t="shared" si="4"/>
        <v>2413.4904109589042</v>
      </c>
      <c r="I19" s="110">
        <f t="shared" si="5"/>
        <v>0</v>
      </c>
      <c r="J19" s="115">
        <f t="shared" si="6"/>
        <v>77.854529385771102</v>
      </c>
      <c r="K19" s="114">
        <f t="shared" si="7"/>
        <v>10.95890410958904</v>
      </c>
      <c r="L19" s="114">
        <f t="shared" si="10"/>
        <v>77.854529385771102</v>
      </c>
      <c r="M19" s="114">
        <f t="shared" si="11"/>
        <v>6.0823851082633666</v>
      </c>
      <c r="N19" s="114">
        <f t="shared" si="8"/>
        <v>1037.0466609589041</v>
      </c>
      <c r="O19" s="114">
        <f t="shared" si="9"/>
        <v>339.72602739726028</v>
      </c>
      <c r="P19" s="114">
        <f t="shared" si="12"/>
        <v>339.72602739726028</v>
      </c>
    </row>
    <row r="20" spans="1:16" x14ac:dyDescent="0.2">
      <c r="A20" s="113" t="s">
        <v>113</v>
      </c>
      <c r="B20" s="113">
        <v>30</v>
      </c>
      <c r="C20" s="113">
        <v>80</v>
      </c>
      <c r="D20" s="114">
        <f t="shared" si="0"/>
        <v>1401.6</v>
      </c>
      <c r="E20" s="114">
        <f t="shared" si="1"/>
        <v>131.50684931506851</v>
      </c>
      <c r="F20" s="114">
        <f t="shared" si="2"/>
        <v>1533.1068493150683</v>
      </c>
      <c r="G20" s="114">
        <f t="shared" si="3"/>
        <v>119.77397260273972</v>
      </c>
      <c r="H20" s="114">
        <f t="shared" si="4"/>
        <v>1533.1068493150683</v>
      </c>
      <c r="I20" s="110">
        <f t="shared" si="5"/>
        <v>0</v>
      </c>
      <c r="J20" s="115">
        <f t="shared" si="6"/>
        <v>51.103561643835612</v>
      </c>
      <c r="K20" s="114">
        <f t="shared" si="7"/>
        <v>10.95890410958904</v>
      </c>
      <c r="L20" s="114">
        <f t="shared" si="10"/>
        <v>51.103561643835612</v>
      </c>
      <c r="M20" s="114">
        <f t="shared" si="11"/>
        <v>3.992465753424657</v>
      </c>
      <c r="N20" s="114">
        <f t="shared" si="8"/>
        <v>658.75684931506839</v>
      </c>
      <c r="O20" s="114">
        <f t="shared" si="9"/>
        <v>328.76712328767121</v>
      </c>
      <c r="P20" s="114">
        <f t="shared" si="12"/>
        <v>328.76712328767121</v>
      </c>
    </row>
    <row r="21" spans="1:16" x14ac:dyDescent="0.2">
      <c r="A21" s="113" t="s">
        <v>114</v>
      </c>
      <c r="B21" s="113">
        <v>31</v>
      </c>
      <c r="C21" s="113">
        <v>40</v>
      </c>
      <c r="D21" s="114">
        <f t="shared" si="0"/>
        <v>700.8</v>
      </c>
      <c r="E21" s="114">
        <f t="shared" si="1"/>
        <v>135.89041095890411</v>
      </c>
      <c r="F21" s="114">
        <f t="shared" si="2"/>
        <v>836.69041095890407</v>
      </c>
      <c r="G21" s="114">
        <f t="shared" si="3"/>
        <v>65.366438356164366</v>
      </c>
      <c r="H21" s="114">
        <f t="shared" si="4"/>
        <v>836.69041095890395</v>
      </c>
      <c r="I21" s="110">
        <f t="shared" si="5"/>
        <v>0</v>
      </c>
      <c r="J21" s="115">
        <f t="shared" si="6"/>
        <v>26.990013256738841</v>
      </c>
      <c r="K21" s="114">
        <f t="shared" si="7"/>
        <v>10.95890410958904</v>
      </c>
      <c r="L21" s="114">
        <f t="shared" si="10"/>
        <v>26.990013256738838</v>
      </c>
      <c r="M21" s="114">
        <f t="shared" si="11"/>
        <v>2.1085947856827216</v>
      </c>
      <c r="N21" s="114">
        <f t="shared" si="8"/>
        <v>359.515410958904</v>
      </c>
      <c r="O21" s="114">
        <f t="shared" si="9"/>
        <v>339.72602739726028</v>
      </c>
      <c r="P21" s="114">
        <f t="shared" si="12"/>
        <v>195.55087883196293</v>
      </c>
    </row>
    <row r="22" spans="1:16" x14ac:dyDescent="0.2">
      <c r="A22" s="113" t="s">
        <v>115</v>
      </c>
      <c r="B22" s="113">
        <v>30</v>
      </c>
      <c r="C22" s="113">
        <v>15</v>
      </c>
      <c r="D22" s="114">
        <f t="shared" si="0"/>
        <v>262.8</v>
      </c>
      <c r="E22" s="114">
        <f t="shared" si="1"/>
        <v>131.50684931506851</v>
      </c>
      <c r="F22" s="114">
        <f t="shared" si="2"/>
        <v>394.30684931506852</v>
      </c>
      <c r="G22" s="114">
        <f t="shared" si="3"/>
        <v>30.805222602739725</v>
      </c>
      <c r="H22" s="114">
        <f t="shared" si="4"/>
        <v>394.30684931506852</v>
      </c>
      <c r="I22" s="110">
        <f t="shared" si="5"/>
        <v>0</v>
      </c>
      <c r="J22" s="115">
        <f t="shared" si="6"/>
        <v>13.143561643835618</v>
      </c>
      <c r="K22" s="114">
        <f t="shared" si="7"/>
        <v>10.95890410958904</v>
      </c>
      <c r="L22" s="114">
        <f t="shared" si="10"/>
        <v>13.143561643835618</v>
      </c>
      <c r="M22" s="114">
        <f t="shared" si="11"/>
        <v>1.0268407534246575</v>
      </c>
      <c r="N22" s="114">
        <f t="shared" si="8"/>
        <v>169.42872431506851</v>
      </c>
      <c r="O22" s="114">
        <f t="shared" si="9"/>
        <v>328.76712328767121</v>
      </c>
      <c r="P22" s="114">
        <f t="shared" si="12"/>
        <v>88.338868801856407</v>
      </c>
    </row>
    <row r="23" spans="1:16" x14ac:dyDescent="0.2">
      <c r="A23" s="113" t="s">
        <v>116</v>
      </c>
      <c r="B23" s="113">
        <v>31</v>
      </c>
      <c r="C23" s="113">
        <v>10</v>
      </c>
      <c r="D23" s="114">
        <f t="shared" si="0"/>
        <v>175.2</v>
      </c>
      <c r="E23" s="114">
        <f t="shared" si="1"/>
        <v>135.89041095890411</v>
      </c>
      <c r="F23" s="114">
        <f t="shared" si="2"/>
        <v>311.0904109589041</v>
      </c>
      <c r="G23" s="114">
        <f t="shared" si="3"/>
        <v>24.303938356164384</v>
      </c>
      <c r="H23" s="114">
        <f t="shared" si="4"/>
        <v>311.0904109589041</v>
      </c>
      <c r="I23" s="110">
        <f t="shared" si="5"/>
        <v>0</v>
      </c>
      <c r="J23" s="115">
        <f t="shared" si="6"/>
        <v>10.035174547061423</v>
      </c>
      <c r="K23" s="114">
        <f t="shared" si="7"/>
        <v>10.95890410958904</v>
      </c>
      <c r="L23" s="114">
        <f t="shared" si="10"/>
        <v>10.035174547061423</v>
      </c>
      <c r="M23" s="114">
        <f t="shared" si="11"/>
        <v>0.7839980114891737</v>
      </c>
      <c r="N23" s="114">
        <f t="shared" si="8"/>
        <v>133.67166095890411</v>
      </c>
      <c r="O23" s="114">
        <f t="shared" si="9"/>
        <v>339.72602739726028</v>
      </c>
      <c r="P23" s="114">
        <f t="shared" si="12"/>
        <v>69.019128737456981</v>
      </c>
    </row>
    <row r="24" spans="1:16" x14ac:dyDescent="0.2">
      <c r="A24" s="113" t="s">
        <v>117</v>
      </c>
      <c r="B24" s="113">
        <v>31</v>
      </c>
      <c r="C24" s="113">
        <v>15</v>
      </c>
      <c r="D24" s="114">
        <f t="shared" si="0"/>
        <v>262.8</v>
      </c>
      <c r="E24" s="114">
        <f t="shared" si="1"/>
        <v>135.89041095890411</v>
      </c>
      <c r="F24" s="114">
        <f t="shared" si="2"/>
        <v>398.69041095890412</v>
      </c>
      <c r="G24" s="114">
        <f t="shared" si="3"/>
        <v>31.147688356164387</v>
      </c>
      <c r="H24" s="114">
        <f t="shared" si="4"/>
        <v>398.69041095890418</v>
      </c>
      <c r="I24" s="110">
        <f t="shared" si="5"/>
        <v>0</v>
      </c>
      <c r="J24" s="115">
        <f t="shared" si="6"/>
        <v>12.860980998674327</v>
      </c>
      <c r="K24" s="114">
        <f t="shared" si="7"/>
        <v>10.95890410958904</v>
      </c>
      <c r="L24" s="114">
        <f t="shared" si="10"/>
        <v>12.860980998674329</v>
      </c>
      <c r="M24" s="114">
        <f t="shared" si="11"/>
        <v>1.0047641405214318</v>
      </c>
      <c r="N24" s="114">
        <f t="shared" si="8"/>
        <v>171.31228595890414</v>
      </c>
      <c r="O24" s="114">
        <f t="shared" si="9"/>
        <v>339.72602739726028</v>
      </c>
      <c r="P24" s="114">
        <f t="shared" si="12"/>
        <v>89.242152182832484</v>
      </c>
    </row>
    <row r="25" spans="1:16" x14ac:dyDescent="0.2">
      <c r="A25" s="113" t="s">
        <v>118</v>
      </c>
      <c r="B25" s="113">
        <v>30</v>
      </c>
      <c r="C25" s="113">
        <v>30</v>
      </c>
      <c r="D25" s="114">
        <f t="shared" si="0"/>
        <v>525.6</v>
      </c>
      <c r="E25" s="114">
        <f t="shared" si="1"/>
        <v>131.50684931506851</v>
      </c>
      <c r="F25" s="114">
        <f t="shared" si="2"/>
        <v>657.10684931506853</v>
      </c>
      <c r="G25" s="114">
        <f t="shared" si="3"/>
        <v>51.336472602739732</v>
      </c>
      <c r="H25" s="114">
        <f t="shared" si="4"/>
        <v>657.10684931506853</v>
      </c>
      <c r="I25" s="110">
        <f t="shared" si="5"/>
        <v>0</v>
      </c>
      <c r="J25" s="115">
        <f t="shared" si="6"/>
        <v>21.903561643835619</v>
      </c>
      <c r="K25" s="114">
        <f t="shared" si="7"/>
        <v>10.95890410958904</v>
      </c>
      <c r="L25" s="114">
        <f t="shared" si="10"/>
        <v>21.903561643835619</v>
      </c>
      <c r="M25" s="114">
        <f t="shared" si="11"/>
        <v>1.7112157534246577</v>
      </c>
      <c r="N25" s="114">
        <f t="shared" si="8"/>
        <v>282.35059931506851</v>
      </c>
      <c r="O25" s="114">
        <f t="shared" si="9"/>
        <v>328.76712328767121</v>
      </c>
      <c r="P25" s="114">
        <f t="shared" si="12"/>
        <v>151.24119118955173</v>
      </c>
    </row>
    <row r="26" spans="1:16" x14ac:dyDescent="0.2">
      <c r="A26" s="113" t="s">
        <v>119</v>
      </c>
      <c r="B26" s="113">
        <v>31</v>
      </c>
      <c r="C26" s="113">
        <v>80</v>
      </c>
      <c r="D26" s="114">
        <f t="shared" si="0"/>
        <v>1401.6</v>
      </c>
      <c r="E26" s="114">
        <f t="shared" si="1"/>
        <v>135.89041095890411</v>
      </c>
      <c r="F26" s="114">
        <f t="shared" si="2"/>
        <v>1537.490410958904</v>
      </c>
      <c r="G26" s="114">
        <f t="shared" si="3"/>
        <v>120.11643835616437</v>
      </c>
      <c r="H26" s="114">
        <f t="shared" si="4"/>
        <v>1537.490410958904</v>
      </c>
      <c r="I26" s="110">
        <f t="shared" si="5"/>
        <v>0</v>
      </c>
      <c r="J26" s="115">
        <f t="shared" si="6"/>
        <v>49.596464869642062</v>
      </c>
      <c r="K26" s="114">
        <f t="shared" si="7"/>
        <v>10.95890410958904</v>
      </c>
      <c r="L26" s="114">
        <f t="shared" si="10"/>
        <v>49.596464869642062</v>
      </c>
      <c r="M26" s="114">
        <f t="shared" si="11"/>
        <v>3.8747238179407861</v>
      </c>
      <c r="N26" s="114">
        <f t="shared" si="8"/>
        <v>660.640410958904</v>
      </c>
      <c r="O26" s="114">
        <f t="shared" si="9"/>
        <v>339.72602739726028</v>
      </c>
      <c r="P26" s="114">
        <f t="shared" si="12"/>
        <v>339.72602739726028</v>
      </c>
    </row>
    <row r="27" spans="1:16" x14ac:dyDescent="0.2">
      <c r="A27" s="113" t="s">
        <v>120</v>
      </c>
      <c r="B27" s="113">
        <v>30</v>
      </c>
      <c r="C27" s="113">
        <v>120</v>
      </c>
      <c r="D27" s="114">
        <f t="shared" si="0"/>
        <v>2102.4</v>
      </c>
      <c r="E27" s="114">
        <f t="shared" si="1"/>
        <v>131.50684931506851</v>
      </c>
      <c r="F27" s="114">
        <f t="shared" si="2"/>
        <v>2233.9068493150685</v>
      </c>
      <c r="G27" s="114">
        <f t="shared" si="3"/>
        <v>174.52397260273972</v>
      </c>
      <c r="H27" s="114">
        <f t="shared" si="4"/>
        <v>2233.9068493150685</v>
      </c>
      <c r="I27" s="110">
        <f t="shared" si="5"/>
        <v>0</v>
      </c>
      <c r="J27" s="115">
        <f t="shared" si="6"/>
        <v>74.463561643835618</v>
      </c>
      <c r="K27" s="114">
        <f t="shared" si="7"/>
        <v>10.95890410958904</v>
      </c>
      <c r="L27" s="114">
        <f t="shared" si="10"/>
        <v>74.463561643835618</v>
      </c>
      <c r="M27" s="114">
        <f t="shared" si="11"/>
        <v>5.8174657534246572</v>
      </c>
      <c r="N27" s="114">
        <f t="shared" si="8"/>
        <v>959.88184931506839</v>
      </c>
      <c r="O27" s="114">
        <f t="shared" si="9"/>
        <v>328.76712328767121</v>
      </c>
      <c r="P27" s="114">
        <f t="shared" si="12"/>
        <v>328.76712328767121</v>
      </c>
    </row>
    <row r="28" spans="1:16" x14ac:dyDescent="0.2">
      <c r="A28" s="113" t="s">
        <v>121</v>
      </c>
      <c r="B28" s="113">
        <v>31</v>
      </c>
      <c r="C28" s="113">
        <v>160</v>
      </c>
      <c r="D28" s="114">
        <f t="shared" si="0"/>
        <v>2803.2</v>
      </c>
      <c r="E28" s="114">
        <f t="shared" si="1"/>
        <v>135.89041095890411</v>
      </c>
      <c r="F28" s="114">
        <f t="shared" si="2"/>
        <v>2939.0904109589037</v>
      </c>
      <c r="G28" s="114">
        <f t="shared" si="3"/>
        <v>229.61643835616434</v>
      </c>
      <c r="H28" s="114">
        <f t="shared" si="4"/>
        <v>2939.0904109589037</v>
      </c>
      <c r="I28" s="110">
        <f t="shared" si="5"/>
        <v>0</v>
      </c>
      <c r="J28" s="115">
        <f t="shared" si="6"/>
        <v>94.809368095448505</v>
      </c>
      <c r="K28" s="114">
        <f t="shared" si="7"/>
        <v>10.95890410958904</v>
      </c>
      <c r="L28" s="114">
        <f t="shared" si="10"/>
        <v>94.809368095448505</v>
      </c>
      <c r="M28" s="114">
        <f t="shared" si="11"/>
        <v>7.4069818824569138</v>
      </c>
      <c r="N28" s="114">
        <f t="shared" si="8"/>
        <v>1262.8904109589039</v>
      </c>
      <c r="O28" s="114">
        <f t="shared" si="9"/>
        <v>339.72602739726028</v>
      </c>
      <c r="P28" s="114">
        <f t="shared" si="12"/>
        <v>339.72602739726028</v>
      </c>
    </row>
    <row r="29" spans="1:16" x14ac:dyDescent="0.2">
      <c r="A29" s="116" t="s">
        <v>122</v>
      </c>
      <c r="B29" s="116">
        <f t="shared" ref="B29:H29" si="13">SUM(B17:B28)</f>
        <v>365</v>
      </c>
      <c r="C29" s="116">
        <f t="shared" si="13"/>
        <v>1000</v>
      </c>
      <c r="D29" s="117">
        <f t="shared" si="13"/>
        <v>17520</v>
      </c>
      <c r="E29" s="117">
        <f t="shared" si="13"/>
        <v>1600.0000000000002</v>
      </c>
      <c r="F29" s="117">
        <f t="shared" si="13"/>
        <v>19120</v>
      </c>
      <c r="G29" s="117">
        <f t="shared" si="13"/>
        <v>1493.7499999999998</v>
      </c>
      <c r="H29" s="117">
        <f t="shared" si="13"/>
        <v>19120</v>
      </c>
      <c r="I29" s="117">
        <f>SUM(I18:I28)</f>
        <v>0</v>
      </c>
      <c r="J29" s="116"/>
      <c r="K29" s="116"/>
      <c r="L29" s="118"/>
      <c r="M29" s="118"/>
      <c r="N29" s="117">
        <f>SUM(N17:N28)</f>
        <v>8215.6249999999982</v>
      </c>
      <c r="O29" s="117">
        <f>SUM(O17:O28)</f>
        <v>3999.9999999999995</v>
      </c>
      <c r="P29" s="117">
        <f>SUM(P17:P28)</f>
        <v>2916.6798909765371</v>
      </c>
    </row>
    <row r="31" spans="1:16" x14ac:dyDescent="0.2">
      <c r="A31" s="52" t="s">
        <v>124</v>
      </c>
      <c r="C31">
        <f>10*ROUND((H29/F13+I29/0.9+N29/F13)/10,0)</f>
        <v>30370</v>
      </c>
    </row>
    <row r="33" spans="1:7" x14ac:dyDescent="0.2">
      <c r="A33" s="52" t="s">
        <v>47</v>
      </c>
      <c r="C33">
        <f>10*ROUND(N29/10,0)</f>
        <v>8220</v>
      </c>
    </row>
    <row r="34" spans="1:7" x14ac:dyDescent="0.2">
      <c r="A34" s="52" t="s">
        <v>125</v>
      </c>
      <c r="C34">
        <f>10*ROUND(P29/10,0)</f>
        <v>2920</v>
      </c>
    </row>
    <row r="36" spans="1:7" x14ac:dyDescent="0.2">
      <c r="A36" s="52" t="s">
        <v>130</v>
      </c>
    </row>
    <row r="38" spans="1:7" x14ac:dyDescent="0.2">
      <c r="A38" t="s">
        <v>84</v>
      </c>
      <c r="F38" s="110">
        <f>'Haustechnikvarianten berechnen'!D59</f>
        <v>17520</v>
      </c>
      <c r="G38" t="s">
        <v>15</v>
      </c>
    </row>
    <row r="39" spans="1:7" x14ac:dyDescent="0.2">
      <c r="F39" s="110"/>
    </row>
    <row r="40" spans="1:7" x14ac:dyDescent="0.2">
      <c r="A40" t="s">
        <v>85</v>
      </c>
      <c r="F40" s="110">
        <f>'Haustechnikvarianten berechnen'!D60</f>
        <v>1600</v>
      </c>
      <c r="G40" t="s">
        <v>15</v>
      </c>
    </row>
    <row r="41" spans="1:7" x14ac:dyDescent="0.2">
      <c r="F41" s="110"/>
    </row>
    <row r="42" spans="1:7" x14ac:dyDescent="0.2">
      <c r="A42" t="s">
        <v>86</v>
      </c>
      <c r="F42" s="110">
        <f>'Haustechnikvarianten berechnen'!D63</f>
        <v>4000</v>
      </c>
      <c r="G42" t="s">
        <v>87</v>
      </c>
    </row>
    <row r="43" spans="1:7" x14ac:dyDescent="0.2">
      <c r="F43" s="110"/>
    </row>
    <row r="44" spans="1:7" x14ac:dyDescent="0.2">
      <c r="A44" t="s">
        <v>88</v>
      </c>
      <c r="F44" s="111">
        <f>IF(F46&gt;4,1,0.5*(1+F46/4))</f>
        <v>0.875</v>
      </c>
    </row>
    <row r="45" spans="1:7" x14ac:dyDescent="0.2">
      <c r="F45" s="110"/>
    </row>
    <row r="46" spans="1:7" x14ac:dyDescent="0.2">
      <c r="A46" t="s">
        <v>90</v>
      </c>
      <c r="F46">
        <f>'Haustechnikvarianten berechnen'!D35</f>
        <v>3</v>
      </c>
      <c r="G46" t="s">
        <v>91</v>
      </c>
    </row>
    <row r="47" spans="1:7" x14ac:dyDescent="0.2">
      <c r="A47" t="s">
        <v>92</v>
      </c>
      <c r="F47">
        <f>'Haustechnikvarianten berechnen'!D36</f>
        <v>8</v>
      </c>
      <c r="G47" t="s">
        <v>91</v>
      </c>
    </row>
    <row r="48" spans="1:7" x14ac:dyDescent="0.2">
      <c r="A48" s="52" t="s">
        <v>143</v>
      </c>
      <c r="F48" s="4">
        <f>'Haustechnikvarianten berechnen'!D37</f>
        <v>0.9</v>
      </c>
    </row>
    <row r="49" spans="1:17" x14ac:dyDescent="0.2">
      <c r="A49" t="s">
        <v>93</v>
      </c>
      <c r="F49" s="112">
        <f>(F46+F47)/F48</f>
        <v>12.222222222222221</v>
      </c>
      <c r="G49" t="s">
        <v>91</v>
      </c>
    </row>
    <row r="51" spans="1:17" x14ac:dyDescent="0.2">
      <c r="A51" s="113" t="s">
        <v>94</v>
      </c>
      <c r="B51" s="113" t="s">
        <v>95</v>
      </c>
      <c r="C51" s="113" t="s">
        <v>96</v>
      </c>
      <c r="D51" s="113" t="s">
        <v>97</v>
      </c>
      <c r="E51" s="113" t="s">
        <v>98</v>
      </c>
      <c r="F51" s="113" t="s">
        <v>99</v>
      </c>
      <c r="G51" s="113" t="s">
        <v>100</v>
      </c>
      <c r="H51" s="113" t="s">
        <v>101</v>
      </c>
      <c r="I51" s="113" t="s">
        <v>102</v>
      </c>
      <c r="J51" s="113" t="s">
        <v>103</v>
      </c>
      <c r="K51" s="113" t="s">
        <v>104</v>
      </c>
      <c r="L51" s="113" t="s">
        <v>129</v>
      </c>
      <c r="M51" s="113" t="s">
        <v>105</v>
      </c>
      <c r="N51" s="113" t="s">
        <v>106</v>
      </c>
      <c r="O51" s="113" t="s">
        <v>107</v>
      </c>
      <c r="P51" s="113" t="s">
        <v>108</v>
      </c>
      <c r="Q51" s="113" t="s">
        <v>109</v>
      </c>
    </row>
    <row r="52" spans="1:17" x14ac:dyDescent="0.2">
      <c r="A52" s="113" t="s">
        <v>110</v>
      </c>
      <c r="B52" s="113">
        <v>31</v>
      </c>
      <c r="C52" s="113">
        <v>170</v>
      </c>
      <c r="D52" s="114">
        <f>$F$38*C52/$C$64</f>
        <v>2978.4</v>
      </c>
      <c r="E52" s="114">
        <f>$F$40*B52/$B$64</f>
        <v>135.89041095890411</v>
      </c>
      <c r="F52" s="114">
        <f>D52+E52</f>
        <v>3114.2904109589044</v>
      </c>
      <c r="G52" s="114">
        <f t="shared" ref="G52:G63" si="14">B52*N52</f>
        <v>389.28630136986305</v>
      </c>
      <c r="H52" s="114">
        <f t="shared" ref="H52:H63" si="15">M52*B52</f>
        <v>792.69406392694054</v>
      </c>
      <c r="I52" s="110">
        <f t="shared" ref="I52:I63" si="16">F52-H52</f>
        <v>2321.5963470319639</v>
      </c>
      <c r="J52" s="115">
        <f>F52/B52</f>
        <v>100.46098099867433</v>
      </c>
      <c r="K52" s="114">
        <f>$F$42/365</f>
        <v>10.95890410958904</v>
      </c>
      <c r="L52" s="114">
        <f>K52*$F$44</f>
        <v>9.5890410958904102</v>
      </c>
      <c r="M52" s="114">
        <f>IF(L52*$F$47/$F$46&gt;J52,J52,L52*$F$47/$F$46)</f>
        <v>25.570776255707759</v>
      </c>
      <c r="N52" s="114">
        <f>IF(J52/$F$47&lt;=24,J52/$F$47,24)</f>
        <v>12.557622624834291</v>
      </c>
      <c r="O52" s="114">
        <f>M52*$F$46/$F$47*B52</f>
        <v>297.2602739726027</v>
      </c>
      <c r="P52" s="114">
        <f>$F$42/365*B52</f>
        <v>339.72602739726028</v>
      </c>
      <c r="Q52" s="114">
        <f>O52</f>
        <v>297.2602739726027</v>
      </c>
    </row>
    <row r="53" spans="1:17" x14ac:dyDescent="0.2">
      <c r="A53" s="113" t="s">
        <v>111</v>
      </c>
      <c r="B53" s="113">
        <v>28</v>
      </c>
      <c r="C53" s="113">
        <v>150</v>
      </c>
      <c r="D53" s="114">
        <f t="shared" ref="D53:D64" si="17">$F$38*C53/$C$64</f>
        <v>2628</v>
      </c>
      <c r="E53" s="114">
        <f t="shared" ref="E53:E63" si="18">$F$40*B53/$B$64</f>
        <v>122.73972602739725</v>
      </c>
      <c r="F53" s="114">
        <f t="shared" ref="F53:F63" si="19">D53+E53</f>
        <v>2750.7397260273974</v>
      </c>
      <c r="G53" s="114">
        <f t="shared" si="14"/>
        <v>343.84246575342468</v>
      </c>
      <c r="H53" s="114">
        <f t="shared" si="15"/>
        <v>715.98173515981728</v>
      </c>
      <c r="I53" s="110">
        <f t="shared" si="16"/>
        <v>2034.7579908675802</v>
      </c>
      <c r="J53" s="115">
        <f t="shared" ref="J53:J63" si="20">F53/B53</f>
        <v>98.240704500978481</v>
      </c>
      <c r="K53" s="114">
        <f t="shared" ref="K53:K63" si="21">$F$42/365</f>
        <v>10.95890410958904</v>
      </c>
      <c r="L53" s="114">
        <f t="shared" ref="L53:L63" si="22">K53*$F$44</f>
        <v>9.5890410958904102</v>
      </c>
      <c r="M53" s="114">
        <f t="shared" ref="M53:M63" si="23">IF(L53*$F$47/$F$46&gt;J53,J53,L53*$F$47/$F$46)</f>
        <v>25.570776255707759</v>
      </c>
      <c r="N53" s="114">
        <f t="shared" ref="N53:N63" si="24">IF(J53/$F$47&lt;=24,J53/$F$47,24)</f>
        <v>12.28008806262231</v>
      </c>
      <c r="O53" s="114">
        <f t="shared" ref="O53:O63" si="25">M53*$F$46/$F$47*B53</f>
        <v>268.49315068493149</v>
      </c>
      <c r="P53" s="114">
        <f t="shared" ref="P53:P63" si="26">$F$42/365*B53</f>
        <v>306.84931506849313</v>
      </c>
      <c r="Q53" s="114">
        <f t="shared" ref="Q53:Q63" si="27">O53</f>
        <v>268.49315068493149</v>
      </c>
    </row>
    <row r="54" spans="1:17" x14ac:dyDescent="0.2">
      <c r="A54" s="113" t="s">
        <v>112</v>
      </c>
      <c r="B54" s="113">
        <v>31</v>
      </c>
      <c r="C54" s="113">
        <v>130</v>
      </c>
      <c r="D54" s="114">
        <f t="shared" si="17"/>
        <v>2277.6</v>
      </c>
      <c r="E54" s="114">
        <f t="shared" si="18"/>
        <v>135.89041095890411</v>
      </c>
      <c r="F54" s="114">
        <f t="shared" si="19"/>
        <v>2413.4904109589042</v>
      </c>
      <c r="G54" s="114">
        <f t="shared" si="14"/>
        <v>301.68630136986303</v>
      </c>
      <c r="H54" s="114">
        <f t="shared" si="15"/>
        <v>792.69406392694054</v>
      </c>
      <c r="I54" s="110">
        <f t="shared" si="16"/>
        <v>1620.7963470319637</v>
      </c>
      <c r="J54" s="115">
        <f t="shared" si="20"/>
        <v>77.854529385771102</v>
      </c>
      <c r="K54" s="114">
        <f t="shared" si="21"/>
        <v>10.95890410958904</v>
      </c>
      <c r="L54" s="114">
        <f t="shared" si="22"/>
        <v>9.5890410958904102</v>
      </c>
      <c r="M54" s="114">
        <f t="shared" si="23"/>
        <v>25.570776255707759</v>
      </c>
      <c r="N54" s="114">
        <f t="shared" si="24"/>
        <v>9.7318161732213877</v>
      </c>
      <c r="O54" s="114">
        <f t="shared" si="25"/>
        <v>297.2602739726027</v>
      </c>
      <c r="P54" s="114">
        <f t="shared" si="26"/>
        <v>339.72602739726028</v>
      </c>
      <c r="Q54" s="114">
        <f t="shared" si="27"/>
        <v>297.2602739726027</v>
      </c>
    </row>
    <row r="55" spans="1:17" x14ac:dyDescent="0.2">
      <c r="A55" s="113" t="s">
        <v>113</v>
      </c>
      <c r="B55" s="113">
        <v>30</v>
      </c>
      <c r="C55" s="113">
        <v>80</v>
      </c>
      <c r="D55" s="114">
        <f t="shared" si="17"/>
        <v>1401.6</v>
      </c>
      <c r="E55" s="114">
        <f t="shared" si="18"/>
        <v>131.50684931506851</v>
      </c>
      <c r="F55" s="114">
        <f t="shared" si="19"/>
        <v>1533.1068493150683</v>
      </c>
      <c r="G55" s="114">
        <f t="shared" si="14"/>
        <v>191.63835616438354</v>
      </c>
      <c r="H55" s="114">
        <f t="shared" si="15"/>
        <v>767.12328767123279</v>
      </c>
      <c r="I55" s="110">
        <f t="shared" si="16"/>
        <v>765.98356164383551</v>
      </c>
      <c r="J55" s="115">
        <f t="shared" si="20"/>
        <v>51.103561643835612</v>
      </c>
      <c r="K55" s="114">
        <f t="shared" si="21"/>
        <v>10.95890410958904</v>
      </c>
      <c r="L55" s="114">
        <f t="shared" si="22"/>
        <v>9.5890410958904102</v>
      </c>
      <c r="M55" s="114">
        <f t="shared" si="23"/>
        <v>25.570776255707759</v>
      </c>
      <c r="N55" s="114">
        <f t="shared" si="24"/>
        <v>6.3879452054794514</v>
      </c>
      <c r="O55" s="114">
        <f t="shared" si="25"/>
        <v>287.67123287671228</v>
      </c>
      <c r="P55" s="114">
        <f t="shared" si="26"/>
        <v>328.76712328767121</v>
      </c>
      <c r="Q55" s="114">
        <f t="shared" si="27"/>
        <v>287.67123287671228</v>
      </c>
    </row>
    <row r="56" spans="1:17" x14ac:dyDescent="0.2">
      <c r="A56" s="113" t="s">
        <v>114</v>
      </c>
      <c r="B56" s="113">
        <v>31</v>
      </c>
      <c r="C56" s="113">
        <v>40</v>
      </c>
      <c r="D56" s="114">
        <f t="shared" si="17"/>
        <v>700.8</v>
      </c>
      <c r="E56" s="114">
        <f t="shared" si="18"/>
        <v>135.89041095890411</v>
      </c>
      <c r="F56" s="114">
        <f t="shared" si="19"/>
        <v>836.69041095890407</v>
      </c>
      <c r="G56" s="114">
        <f t="shared" si="14"/>
        <v>104.58630136986301</v>
      </c>
      <c r="H56" s="114">
        <f t="shared" si="15"/>
        <v>792.69406392694054</v>
      </c>
      <c r="I56" s="110">
        <f t="shared" si="16"/>
        <v>43.996347031963523</v>
      </c>
      <c r="J56" s="115">
        <f t="shared" si="20"/>
        <v>26.990013256738841</v>
      </c>
      <c r="K56" s="114">
        <f t="shared" si="21"/>
        <v>10.95890410958904</v>
      </c>
      <c r="L56" s="114">
        <f t="shared" si="22"/>
        <v>9.5890410958904102</v>
      </c>
      <c r="M56" s="114">
        <f t="shared" si="23"/>
        <v>25.570776255707759</v>
      </c>
      <c r="N56" s="114">
        <f t="shared" si="24"/>
        <v>3.3737516570923551</v>
      </c>
      <c r="O56" s="114">
        <f t="shared" si="25"/>
        <v>297.2602739726027</v>
      </c>
      <c r="P56" s="114">
        <f t="shared" si="26"/>
        <v>339.72602739726028</v>
      </c>
      <c r="Q56" s="114">
        <f t="shared" si="27"/>
        <v>297.2602739726027</v>
      </c>
    </row>
    <row r="57" spans="1:17" x14ac:dyDescent="0.2">
      <c r="A57" s="113" t="s">
        <v>115</v>
      </c>
      <c r="B57" s="113">
        <v>30</v>
      </c>
      <c r="C57" s="113">
        <v>15</v>
      </c>
      <c r="D57" s="114">
        <f t="shared" si="17"/>
        <v>262.8</v>
      </c>
      <c r="E57" s="114">
        <f t="shared" si="18"/>
        <v>131.50684931506851</v>
      </c>
      <c r="F57" s="114">
        <f t="shared" si="19"/>
        <v>394.30684931506852</v>
      </c>
      <c r="G57" s="114">
        <f t="shared" si="14"/>
        <v>49.288356164383565</v>
      </c>
      <c r="H57" s="114">
        <f t="shared" si="15"/>
        <v>394.30684931506852</v>
      </c>
      <c r="I57" s="110">
        <f t="shared" si="16"/>
        <v>0</v>
      </c>
      <c r="J57" s="115">
        <f t="shared" si="20"/>
        <v>13.143561643835618</v>
      </c>
      <c r="K57" s="114">
        <f t="shared" si="21"/>
        <v>10.95890410958904</v>
      </c>
      <c r="L57" s="114">
        <f t="shared" si="22"/>
        <v>9.5890410958904102</v>
      </c>
      <c r="M57" s="114">
        <f t="shared" si="23"/>
        <v>13.143561643835618</v>
      </c>
      <c r="N57" s="114">
        <f t="shared" si="24"/>
        <v>1.6429452054794522</v>
      </c>
      <c r="O57" s="114">
        <f t="shared" si="25"/>
        <v>147.86506849315069</v>
      </c>
      <c r="P57" s="114">
        <f t="shared" si="26"/>
        <v>328.76712328767121</v>
      </c>
      <c r="Q57" s="114">
        <f t="shared" si="27"/>
        <v>147.86506849315069</v>
      </c>
    </row>
    <row r="58" spans="1:17" x14ac:dyDescent="0.2">
      <c r="A58" s="113" t="s">
        <v>116</v>
      </c>
      <c r="B58" s="113">
        <v>31</v>
      </c>
      <c r="C58" s="113">
        <v>10</v>
      </c>
      <c r="D58" s="114">
        <f t="shared" si="17"/>
        <v>175.2</v>
      </c>
      <c r="E58" s="114">
        <f t="shared" si="18"/>
        <v>135.89041095890411</v>
      </c>
      <c r="F58" s="114">
        <f t="shared" si="19"/>
        <v>311.0904109589041</v>
      </c>
      <c r="G58" s="114">
        <f t="shared" si="14"/>
        <v>38.886301369863013</v>
      </c>
      <c r="H58" s="114">
        <f t="shared" si="15"/>
        <v>311.0904109589041</v>
      </c>
      <c r="I58" s="110">
        <f t="shared" si="16"/>
        <v>0</v>
      </c>
      <c r="J58" s="115">
        <f t="shared" si="20"/>
        <v>10.035174547061423</v>
      </c>
      <c r="K58" s="114">
        <f t="shared" si="21"/>
        <v>10.95890410958904</v>
      </c>
      <c r="L58" s="114">
        <f t="shared" si="22"/>
        <v>9.5890410958904102</v>
      </c>
      <c r="M58" s="114">
        <f t="shared" si="23"/>
        <v>10.035174547061423</v>
      </c>
      <c r="N58" s="114">
        <f t="shared" si="24"/>
        <v>1.2543968183826779</v>
      </c>
      <c r="O58" s="114">
        <f t="shared" si="25"/>
        <v>116.65890410958905</v>
      </c>
      <c r="P58" s="114">
        <f t="shared" si="26"/>
        <v>339.72602739726028</v>
      </c>
      <c r="Q58" s="114">
        <f t="shared" si="27"/>
        <v>116.65890410958905</v>
      </c>
    </row>
    <row r="59" spans="1:17" x14ac:dyDescent="0.2">
      <c r="A59" s="113" t="s">
        <v>117</v>
      </c>
      <c r="B59" s="113">
        <v>31</v>
      </c>
      <c r="C59" s="113">
        <v>15</v>
      </c>
      <c r="D59" s="114">
        <f t="shared" si="17"/>
        <v>262.8</v>
      </c>
      <c r="E59" s="114">
        <f t="shared" si="18"/>
        <v>135.89041095890411</v>
      </c>
      <c r="F59" s="114">
        <f t="shared" si="19"/>
        <v>398.69041095890412</v>
      </c>
      <c r="G59" s="114">
        <f t="shared" si="14"/>
        <v>49.836301369863016</v>
      </c>
      <c r="H59" s="114">
        <f t="shared" si="15"/>
        <v>398.69041095890412</v>
      </c>
      <c r="I59" s="110">
        <f t="shared" si="16"/>
        <v>0</v>
      </c>
      <c r="J59" s="115">
        <f t="shared" si="20"/>
        <v>12.860980998674327</v>
      </c>
      <c r="K59" s="114">
        <f t="shared" si="21"/>
        <v>10.95890410958904</v>
      </c>
      <c r="L59" s="114">
        <f t="shared" si="22"/>
        <v>9.5890410958904102</v>
      </c>
      <c r="M59" s="114">
        <f t="shared" si="23"/>
        <v>12.860980998674327</v>
      </c>
      <c r="N59" s="114">
        <f t="shared" si="24"/>
        <v>1.6076226248342909</v>
      </c>
      <c r="O59" s="114">
        <f t="shared" si="25"/>
        <v>149.50890410958905</v>
      </c>
      <c r="P59" s="114">
        <f t="shared" si="26"/>
        <v>339.72602739726028</v>
      </c>
      <c r="Q59" s="114">
        <f t="shared" si="27"/>
        <v>149.50890410958905</v>
      </c>
    </row>
    <row r="60" spans="1:17" x14ac:dyDescent="0.2">
      <c r="A60" s="113" t="s">
        <v>118</v>
      </c>
      <c r="B60" s="113">
        <v>30</v>
      </c>
      <c r="C60" s="113">
        <v>30</v>
      </c>
      <c r="D60" s="114">
        <f t="shared" si="17"/>
        <v>525.6</v>
      </c>
      <c r="E60" s="114">
        <f t="shared" si="18"/>
        <v>131.50684931506851</v>
      </c>
      <c r="F60" s="114">
        <f t="shared" si="19"/>
        <v>657.10684931506853</v>
      </c>
      <c r="G60" s="114">
        <f t="shared" si="14"/>
        <v>82.138356164383566</v>
      </c>
      <c r="H60" s="114">
        <f t="shared" si="15"/>
        <v>657.10684931506853</v>
      </c>
      <c r="I60" s="110">
        <f t="shared" si="16"/>
        <v>0</v>
      </c>
      <c r="J60" s="115">
        <f t="shared" si="20"/>
        <v>21.903561643835619</v>
      </c>
      <c r="K60" s="114">
        <f t="shared" si="21"/>
        <v>10.95890410958904</v>
      </c>
      <c r="L60" s="114">
        <f t="shared" si="22"/>
        <v>9.5890410958904102</v>
      </c>
      <c r="M60" s="114">
        <f t="shared" si="23"/>
        <v>21.903561643835619</v>
      </c>
      <c r="N60" s="114">
        <f t="shared" si="24"/>
        <v>2.7379452054794524</v>
      </c>
      <c r="O60" s="114">
        <f t="shared" si="25"/>
        <v>246.41506849315073</v>
      </c>
      <c r="P60" s="114">
        <f t="shared" si="26"/>
        <v>328.76712328767121</v>
      </c>
      <c r="Q60" s="114">
        <f t="shared" si="27"/>
        <v>246.41506849315073</v>
      </c>
    </row>
    <row r="61" spans="1:17" x14ac:dyDescent="0.2">
      <c r="A61" s="113" t="s">
        <v>119</v>
      </c>
      <c r="B61" s="113">
        <v>31</v>
      </c>
      <c r="C61" s="113">
        <v>80</v>
      </c>
      <c r="D61" s="114">
        <f t="shared" si="17"/>
        <v>1401.6</v>
      </c>
      <c r="E61" s="114">
        <f t="shared" si="18"/>
        <v>135.89041095890411</v>
      </c>
      <c r="F61" s="114">
        <f t="shared" si="19"/>
        <v>1537.490410958904</v>
      </c>
      <c r="G61" s="114">
        <f t="shared" si="14"/>
        <v>192.186301369863</v>
      </c>
      <c r="H61" s="114">
        <f t="shared" si="15"/>
        <v>792.69406392694054</v>
      </c>
      <c r="I61" s="110">
        <f t="shared" si="16"/>
        <v>744.79634703196348</v>
      </c>
      <c r="J61" s="115">
        <f t="shared" si="20"/>
        <v>49.596464869642062</v>
      </c>
      <c r="K61" s="114">
        <f t="shared" si="21"/>
        <v>10.95890410958904</v>
      </c>
      <c r="L61" s="114">
        <f t="shared" si="22"/>
        <v>9.5890410958904102</v>
      </c>
      <c r="M61" s="114">
        <f t="shared" si="23"/>
        <v>25.570776255707759</v>
      </c>
      <c r="N61" s="114">
        <f t="shared" si="24"/>
        <v>6.1995581087052578</v>
      </c>
      <c r="O61" s="114">
        <f t="shared" si="25"/>
        <v>297.2602739726027</v>
      </c>
      <c r="P61" s="114">
        <f t="shared" si="26"/>
        <v>339.72602739726028</v>
      </c>
      <c r="Q61" s="114">
        <f t="shared" si="27"/>
        <v>297.2602739726027</v>
      </c>
    </row>
    <row r="62" spans="1:17" x14ac:dyDescent="0.2">
      <c r="A62" s="113" t="s">
        <v>120</v>
      </c>
      <c r="B62" s="113">
        <v>30</v>
      </c>
      <c r="C62" s="113">
        <v>120</v>
      </c>
      <c r="D62" s="114">
        <f t="shared" si="17"/>
        <v>2102.4</v>
      </c>
      <c r="E62" s="114">
        <f t="shared" si="18"/>
        <v>131.50684931506851</v>
      </c>
      <c r="F62" s="114">
        <f t="shared" si="19"/>
        <v>2233.9068493150685</v>
      </c>
      <c r="G62" s="114">
        <f t="shared" si="14"/>
        <v>279.23835616438356</v>
      </c>
      <c r="H62" s="114">
        <f t="shared" si="15"/>
        <v>767.12328767123279</v>
      </c>
      <c r="I62" s="110">
        <f t="shared" si="16"/>
        <v>1466.7835616438356</v>
      </c>
      <c r="J62" s="115">
        <f t="shared" si="20"/>
        <v>74.463561643835618</v>
      </c>
      <c r="K62" s="114">
        <f t="shared" si="21"/>
        <v>10.95890410958904</v>
      </c>
      <c r="L62" s="114">
        <f t="shared" si="22"/>
        <v>9.5890410958904102</v>
      </c>
      <c r="M62" s="114">
        <f t="shared" si="23"/>
        <v>25.570776255707759</v>
      </c>
      <c r="N62" s="114">
        <f t="shared" si="24"/>
        <v>9.3079452054794523</v>
      </c>
      <c r="O62" s="114">
        <f t="shared" si="25"/>
        <v>287.67123287671228</v>
      </c>
      <c r="P62" s="114">
        <f t="shared" si="26"/>
        <v>328.76712328767121</v>
      </c>
      <c r="Q62" s="114">
        <f t="shared" si="27"/>
        <v>287.67123287671228</v>
      </c>
    </row>
    <row r="63" spans="1:17" x14ac:dyDescent="0.2">
      <c r="A63" s="113" t="s">
        <v>121</v>
      </c>
      <c r="B63" s="113">
        <v>31</v>
      </c>
      <c r="C63" s="113">
        <v>160</v>
      </c>
      <c r="D63" s="114">
        <f t="shared" si="17"/>
        <v>2803.2</v>
      </c>
      <c r="E63" s="114">
        <f t="shared" si="18"/>
        <v>135.89041095890411</v>
      </c>
      <c r="F63" s="114">
        <f t="shared" si="19"/>
        <v>2939.0904109589037</v>
      </c>
      <c r="G63" s="114">
        <f t="shared" si="14"/>
        <v>367.38630136986296</v>
      </c>
      <c r="H63" s="114">
        <f t="shared" si="15"/>
        <v>792.69406392694054</v>
      </c>
      <c r="I63" s="110">
        <f t="shared" si="16"/>
        <v>2146.3963470319632</v>
      </c>
      <c r="J63" s="115">
        <f t="shared" si="20"/>
        <v>94.809368095448505</v>
      </c>
      <c r="K63" s="114">
        <f t="shared" si="21"/>
        <v>10.95890410958904</v>
      </c>
      <c r="L63" s="114">
        <f t="shared" si="22"/>
        <v>9.5890410958904102</v>
      </c>
      <c r="M63" s="114">
        <f t="shared" si="23"/>
        <v>25.570776255707759</v>
      </c>
      <c r="N63" s="114">
        <f t="shared" si="24"/>
        <v>11.851171011931063</v>
      </c>
      <c r="O63" s="114">
        <f t="shared" si="25"/>
        <v>297.2602739726027</v>
      </c>
      <c r="P63" s="114">
        <f t="shared" si="26"/>
        <v>339.72602739726028</v>
      </c>
      <c r="Q63" s="114">
        <f t="shared" si="27"/>
        <v>297.2602739726027</v>
      </c>
    </row>
    <row r="64" spans="1:17" x14ac:dyDescent="0.2">
      <c r="A64" s="116" t="s">
        <v>122</v>
      </c>
      <c r="B64" s="116">
        <f t="shared" ref="B64:H64" si="28">SUM(B52:B63)</f>
        <v>365</v>
      </c>
      <c r="C64" s="116">
        <f t="shared" si="28"/>
        <v>1000</v>
      </c>
      <c r="D64" s="114">
        <f t="shared" si="17"/>
        <v>17520</v>
      </c>
      <c r="E64" s="117">
        <f t="shared" si="28"/>
        <v>1600.0000000000002</v>
      </c>
      <c r="F64" s="117">
        <f t="shared" si="28"/>
        <v>19120</v>
      </c>
      <c r="G64" s="117">
        <f t="shared" si="28"/>
        <v>2390</v>
      </c>
      <c r="H64" s="117">
        <f t="shared" si="28"/>
        <v>7974.8931506849303</v>
      </c>
      <c r="I64" s="117">
        <f>SUM(I53:I63)</f>
        <v>8823.5105022831049</v>
      </c>
      <c r="J64" s="116"/>
      <c r="K64" s="116"/>
      <c r="L64" s="116"/>
      <c r="M64" s="118"/>
      <c r="N64" s="118"/>
      <c r="O64" s="117">
        <f>SUM(O52:O63)</f>
        <v>2990.5849315068485</v>
      </c>
      <c r="P64" s="117">
        <f>SUM(P52:P63)</f>
        <v>3999.9999999999995</v>
      </c>
      <c r="Q64" s="117">
        <f>SUM(Q52:Q63)</f>
        <v>2990.5849315068485</v>
      </c>
    </row>
    <row r="66" spans="1:7" x14ac:dyDescent="0.2">
      <c r="A66" s="52" t="s">
        <v>124</v>
      </c>
      <c r="C66">
        <f>10*ROUND((H64/F48+I64/0.9+O64/F48)/10,0)</f>
        <v>21990</v>
      </c>
    </row>
    <row r="68" spans="1:7" x14ac:dyDescent="0.2">
      <c r="A68" s="52" t="s">
        <v>47</v>
      </c>
      <c r="C68">
        <f>10*ROUND(O64/10,0)</f>
        <v>2990</v>
      </c>
    </row>
    <row r="69" spans="1:7" x14ac:dyDescent="0.2">
      <c r="A69" s="52" t="s">
        <v>125</v>
      </c>
      <c r="C69">
        <f>10*ROUND(Q64/10,0)</f>
        <v>2990</v>
      </c>
    </row>
    <row r="71" spans="1:7" x14ac:dyDescent="0.2">
      <c r="A71" s="52" t="s">
        <v>149</v>
      </c>
    </row>
    <row r="73" spans="1:7" x14ac:dyDescent="0.2">
      <c r="A73" t="s">
        <v>84</v>
      </c>
      <c r="F73" s="110">
        <f>'Haustechnikvarianten berechnen'!E59</f>
        <v>17520</v>
      </c>
      <c r="G73" t="s">
        <v>15</v>
      </c>
    </row>
    <row r="74" spans="1:7" x14ac:dyDescent="0.2">
      <c r="F74" s="110"/>
    </row>
    <row r="75" spans="1:7" x14ac:dyDescent="0.2">
      <c r="A75" t="s">
        <v>85</v>
      </c>
      <c r="F75" s="110">
        <f>'Haustechnikvarianten berechnen'!E60</f>
        <v>1600</v>
      </c>
      <c r="G75" t="s">
        <v>15</v>
      </c>
    </row>
    <row r="76" spans="1:7" x14ac:dyDescent="0.2">
      <c r="F76" s="110"/>
    </row>
    <row r="77" spans="1:7" x14ac:dyDescent="0.2">
      <c r="A77" t="s">
        <v>86</v>
      </c>
      <c r="F77" s="110">
        <f>'Haustechnikvarianten berechnen'!E63</f>
        <v>4000</v>
      </c>
      <c r="G77" t="s">
        <v>87</v>
      </c>
    </row>
    <row r="78" spans="1:7" x14ac:dyDescent="0.2">
      <c r="F78" s="110"/>
    </row>
    <row r="79" spans="1:7" x14ac:dyDescent="0.2">
      <c r="A79" t="s">
        <v>88</v>
      </c>
      <c r="F79" s="111">
        <f>IF(F81&gt;4,1,0.5*(1+F81/4))</f>
        <v>0.58750000000000002</v>
      </c>
    </row>
    <row r="80" spans="1:7" x14ac:dyDescent="0.2">
      <c r="F80" s="110"/>
    </row>
    <row r="81" spans="1:17" x14ac:dyDescent="0.2">
      <c r="A81" t="s">
        <v>90</v>
      </c>
      <c r="F81">
        <f>'Haustechnikvarianten berechnen'!E35</f>
        <v>0.7</v>
      </c>
      <c r="G81" t="s">
        <v>91</v>
      </c>
    </row>
    <row r="82" spans="1:17" x14ac:dyDescent="0.2">
      <c r="A82" t="s">
        <v>92</v>
      </c>
      <c r="F82">
        <f>'Haustechnikvarianten berechnen'!E36</f>
        <v>1</v>
      </c>
      <c r="G82" t="s">
        <v>91</v>
      </c>
    </row>
    <row r="83" spans="1:17" x14ac:dyDescent="0.2">
      <c r="A83" s="52" t="s">
        <v>143</v>
      </c>
      <c r="F83" s="4">
        <f>'Haustechnikvarianten berechnen'!E37</f>
        <v>0.85</v>
      </c>
    </row>
    <row r="84" spans="1:17" x14ac:dyDescent="0.2">
      <c r="A84" t="s">
        <v>93</v>
      </c>
      <c r="F84" s="112">
        <f>(F81+F82)/F83</f>
        <v>2</v>
      </c>
      <c r="G84" t="s">
        <v>91</v>
      </c>
    </row>
    <row r="86" spans="1:17" x14ac:dyDescent="0.2">
      <c r="A86" s="113" t="s">
        <v>94</v>
      </c>
      <c r="B86" s="113" t="s">
        <v>95</v>
      </c>
      <c r="C86" s="113" t="s">
        <v>96</v>
      </c>
      <c r="D86" s="113" t="s">
        <v>97</v>
      </c>
      <c r="E86" s="113" t="s">
        <v>98</v>
      </c>
      <c r="F86" s="113" t="s">
        <v>99</v>
      </c>
      <c r="G86" s="113" t="s">
        <v>100</v>
      </c>
      <c r="H86" s="113" t="s">
        <v>101</v>
      </c>
      <c r="I86" s="113" t="s">
        <v>102</v>
      </c>
      <c r="J86" s="113" t="s">
        <v>103</v>
      </c>
      <c r="K86" s="113" t="s">
        <v>104</v>
      </c>
      <c r="L86" s="113" t="s">
        <v>129</v>
      </c>
      <c r="M86" s="113" t="s">
        <v>105</v>
      </c>
      <c r="N86" s="113" t="s">
        <v>106</v>
      </c>
      <c r="O86" s="113" t="s">
        <v>107</v>
      </c>
      <c r="P86" s="113" t="s">
        <v>108</v>
      </c>
      <c r="Q86" s="113" t="s">
        <v>109</v>
      </c>
    </row>
    <row r="87" spans="1:17" x14ac:dyDescent="0.2">
      <c r="A87" s="113" t="s">
        <v>110</v>
      </c>
      <c r="B87" s="113">
        <v>31</v>
      </c>
      <c r="C87" s="113">
        <v>170</v>
      </c>
      <c r="D87" s="114">
        <f>$F$73*C87/$C$99</f>
        <v>2978.4</v>
      </c>
      <c r="E87" s="114">
        <f>$F$75*B87/$B$99</f>
        <v>135.89041095890411</v>
      </c>
      <c r="F87" s="114">
        <f>D87+E87</f>
        <v>3114.2904109589044</v>
      </c>
      <c r="G87" s="114">
        <f>B87*N87</f>
        <v>744</v>
      </c>
      <c r="H87" s="114">
        <f t="shared" ref="H87:H98" si="29">M87*B87</f>
        <v>285.1272015655577</v>
      </c>
      <c r="I87" s="110">
        <f t="shared" ref="I87:I98" si="30">F87-H87</f>
        <v>2829.1632093933467</v>
      </c>
      <c r="J87" s="115">
        <f>F87/B87</f>
        <v>100.46098099867433</v>
      </c>
      <c r="K87" s="114">
        <f>$F$77/365</f>
        <v>10.95890410958904</v>
      </c>
      <c r="L87" s="114">
        <f>K87*$F$79</f>
        <v>6.4383561643835616</v>
      </c>
      <c r="M87" s="114">
        <f>IF(L87*$F$82/$F$81&gt;J87,J87,L87*$F$82/$F$81)</f>
        <v>9.1976516634050878</v>
      </c>
      <c r="N87" s="114">
        <f>IF(J87/$F$82&lt;=24,J87/$F$82,24)</f>
        <v>24</v>
      </c>
      <c r="O87" s="114">
        <f>M87*$F$81/$F$82*B87</f>
        <v>199.58904109589039</v>
      </c>
      <c r="P87" s="114">
        <f t="shared" ref="P87:P98" si="31">$F$7/365*B87</f>
        <v>339.72602739726028</v>
      </c>
      <c r="Q87" s="114">
        <f>O87</f>
        <v>199.58904109589039</v>
      </c>
    </row>
    <row r="88" spans="1:17" x14ac:dyDescent="0.2">
      <c r="A88" s="113" t="s">
        <v>111</v>
      </c>
      <c r="B88" s="113">
        <v>28</v>
      </c>
      <c r="C88" s="113">
        <v>150</v>
      </c>
      <c r="D88" s="114">
        <f t="shared" ref="D88:D98" si="32">$F$73*C88/$C$99</f>
        <v>2628</v>
      </c>
      <c r="E88" s="114">
        <f t="shared" ref="E88:E98" si="33">$F$75*B88/$B$99</f>
        <v>122.73972602739725</v>
      </c>
      <c r="F88" s="114">
        <f t="shared" ref="F88:F98" si="34">D88+E88</f>
        <v>2750.7397260273974</v>
      </c>
      <c r="G88" s="114">
        <f t="shared" ref="G88:G98" si="35">B88*N88</f>
        <v>672</v>
      </c>
      <c r="H88" s="114">
        <f t="shared" si="29"/>
        <v>257.53424657534248</v>
      </c>
      <c r="I88" s="110">
        <f t="shared" si="30"/>
        <v>2493.205479452055</v>
      </c>
      <c r="J88" s="115">
        <f t="shared" ref="J88:J98" si="36">F88/B88</f>
        <v>98.240704500978481</v>
      </c>
      <c r="K88" s="114">
        <f t="shared" ref="K88:K98" si="37">$F$77/365</f>
        <v>10.95890410958904</v>
      </c>
      <c r="L88" s="114">
        <f t="shared" ref="L88:L98" si="38">K88*$F$79</f>
        <v>6.4383561643835616</v>
      </c>
      <c r="M88" s="114">
        <f t="shared" ref="M88:M98" si="39">IF(L88*$F$82/$F$81&gt;J88,J88,L88*$F$82/$F$81)</f>
        <v>9.1976516634050878</v>
      </c>
      <c r="N88" s="114">
        <f t="shared" ref="N88:N98" si="40">IF(J88/$F$82&lt;=24,J88/$F$82,24)</f>
        <v>24</v>
      </c>
      <c r="O88" s="114">
        <f t="shared" ref="O88:O98" si="41">M88*$F$81/$F$82*B88</f>
        <v>180.27397260273969</v>
      </c>
      <c r="P88" s="114">
        <f t="shared" si="31"/>
        <v>306.84931506849313</v>
      </c>
      <c r="Q88" s="114">
        <f t="shared" ref="Q88:Q98" si="42">O88</f>
        <v>180.27397260273969</v>
      </c>
    </row>
    <row r="89" spans="1:17" x14ac:dyDescent="0.2">
      <c r="A89" s="113" t="s">
        <v>112</v>
      </c>
      <c r="B89" s="113">
        <v>31</v>
      </c>
      <c r="C89" s="113">
        <v>130</v>
      </c>
      <c r="D89" s="114">
        <f t="shared" si="32"/>
        <v>2277.6</v>
      </c>
      <c r="E89" s="114">
        <f t="shared" si="33"/>
        <v>135.89041095890411</v>
      </c>
      <c r="F89" s="114">
        <f t="shared" si="34"/>
        <v>2413.4904109589042</v>
      </c>
      <c r="G89" s="114">
        <f t="shared" si="35"/>
        <v>744</v>
      </c>
      <c r="H89" s="114">
        <f t="shared" si="29"/>
        <v>285.1272015655577</v>
      </c>
      <c r="I89" s="110">
        <f t="shared" si="30"/>
        <v>2128.3632093933466</v>
      </c>
      <c r="J89" s="115">
        <f t="shared" si="36"/>
        <v>77.854529385771102</v>
      </c>
      <c r="K89" s="114">
        <f t="shared" si="37"/>
        <v>10.95890410958904</v>
      </c>
      <c r="L89" s="114">
        <f t="shared" si="38"/>
        <v>6.4383561643835616</v>
      </c>
      <c r="M89" s="114">
        <f t="shared" si="39"/>
        <v>9.1976516634050878</v>
      </c>
      <c r="N89" s="114">
        <f t="shared" si="40"/>
        <v>24</v>
      </c>
      <c r="O89" s="114">
        <f t="shared" si="41"/>
        <v>199.58904109589039</v>
      </c>
      <c r="P89" s="114">
        <f t="shared" si="31"/>
        <v>339.72602739726028</v>
      </c>
      <c r="Q89" s="114">
        <f t="shared" si="42"/>
        <v>199.58904109589039</v>
      </c>
    </row>
    <row r="90" spans="1:17" x14ac:dyDescent="0.2">
      <c r="A90" s="113" t="s">
        <v>113</v>
      </c>
      <c r="B90" s="113">
        <v>30</v>
      </c>
      <c r="C90" s="113">
        <v>80</v>
      </c>
      <c r="D90" s="114">
        <f t="shared" si="32"/>
        <v>1401.6</v>
      </c>
      <c r="E90" s="114">
        <f t="shared" si="33"/>
        <v>131.50684931506851</v>
      </c>
      <c r="F90" s="114">
        <f t="shared" si="34"/>
        <v>1533.1068493150683</v>
      </c>
      <c r="G90" s="114">
        <f t="shared" si="35"/>
        <v>720</v>
      </c>
      <c r="H90" s="114">
        <f t="shared" si="29"/>
        <v>275.92954990215264</v>
      </c>
      <c r="I90" s="110">
        <f t="shared" si="30"/>
        <v>1257.1772994129155</v>
      </c>
      <c r="J90" s="115">
        <f t="shared" si="36"/>
        <v>51.103561643835612</v>
      </c>
      <c r="K90" s="114">
        <f t="shared" si="37"/>
        <v>10.95890410958904</v>
      </c>
      <c r="L90" s="114">
        <f t="shared" si="38"/>
        <v>6.4383561643835616</v>
      </c>
      <c r="M90" s="114">
        <f t="shared" si="39"/>
        <v>9.1976516634050878</v>
      </c>
      <c r="N90" s="114">
        <f t="shared" si="40"/>
        <v>24</v>
      </c>
      <c r="O90" s="114">
        <f t="shared" si="41"/>
        <v>193.15068493150682</v>
      </c>
      <c r="P90" s="114">
        <f t="shared" si="31"/>
        <v>328.76712328767121</v>
      </c>
      <c r="Q90" s="114">
        <f t="shared" si="42"/>
        <v>193.15068493150682</v>
      </c>
    </row>
    <row r="91" spans="1:17" x14ac:dyDescent="0.2">
      <c r="A91" s="113" t="s">
        <v>114</v>
      </c>
      <c r="B91" s="113">
        <v>31</v>
      </c>
      <c r="C91" s="113">
        <v>40</v>
      </c>
      <c r="D91" s="114">
        <f t="shared" si="32"/>
        <v>700.8</v>
      </c>
      <c r="E91" s="114">
        <f t="shared" si="33"/>
        <v>135.89041095890411</v>
      </c>
      <c r="F91" s="114">
        <f t="shared" si="34"/>
        <v>836.69041095890407</v>
      </c>
      <c r="G91" s="114">
        <f t="shared" si="35"/>
        <v>744</v>
      </c>
      <c r="H91" s="114">
        <f t="shared" si="29"/>
        <v>285.1272015655577</v>
      </c>
      <c r="I91" s="110">
        <f t="shared" si="30"/>
        <v>551.56320939334637</v>
      </c>
      <c r="J91" s="115">
        <f t="shared" si="36"/>
        <v>26.990013256738841</v>
      </c>
      <c r="K91" s="114">
        <f t="shared" si="37"/>
        <v>10.95890410958904</v>
      </c>
      <c r="L91" s="114">
        <f t="shared" si="38"/>
        <v>6.4383561643835616</v>
      </c>
      <c r="M91" s="114">
        <f t="shared" si="39"/>
        <v>9.1976516634050878</v>
      </c>
      <c r="N91" s="114">
        <f t="shared" si="40"/>
        <v>24</v>
      </c>
      <c r="O91" s="114">
        <f t="shared" si="41"/>
        <v>199.58904109589039</v>
      </c>
      <c r="P91" s="114">
        <f t="shared" si="31"/>
        <v>339.72602739726028</v>
      </c>
      <c r="Q91" s="114">
        <f t="shared" si="42"/>
        <v>199.58904109589039</v>
      </c>
    </row>
    <row r="92" spans="1:17" x14ac:dyDescent="0.2">
      <c r="A92" s="113" t="s">
        <v>115</v>
      </c>
      <c r="B92" s="113">
        <v>30</v>
      </c>
      <c r="C92" s="113">
        <v>15</v>
      </c>
      <c r="D92" s="114">
        <f t="shared" si="32"/>
        <v>262.8</v>
      </c>
      <c r="E92" s="114">
        <f t="shared" si="33"/>
        <v>131.50684931506851</v>
      </c>
      <c r="F92" s="114">
        <f t="shared" si="34"/>
        <v>394.30684931506852</v>
      </c>
      <c r="G92" s="114">
        <f t="shared" si="35"/>
        <v>394.30684931506852</v>
      </c>
      <c r="H92" s="114">
        <f t="shared" si="29"/>
        <v>275.92954990215264</v>
      </c>
      <c r="I92" s="110">
        <f t="shared" si="30"/>
        <v>118.37729941291587</v>
      </c>
      <c r="J92" s="115">
        <f t="shared" si="36"/>
        <v>13.143561643835618</v>
      </c>
      <c r="K92" s="114">
        <f t="shared" si="37"/>
        <v>10.95890410958904</v>
      </c>
      <c r="L92" s="114">
        <f t="shared" si="38"/>
        <v>6.4383561643835616</v>
      </c>
      <c r="M92" s="114">
        <f t="shared" si="39"/>
        <v>9.1976516634050878</v>
      </c>
      <c r="N92" s="114">
        <f t="shared" si="40"/>
        <v>13.143561643835618</v>
      </c>
      <c r="O92" s="114">
        <f t="shared" si="41"/>
        <v>193.15068493150682</v>
      </c>
      <c r="P92" s="114">
        <f t="shared" si="31"/>
        <v>328.76712328767121</v>
      </c>
      <c r="Q92" s="114">
        <f t="shared" si="42"/>
        <v>193.15068493150682</v>
      </c>
    </row>
    <row r="93" spans="1:17" x14ac:dyDescent="0.2">
      <c r="A93" s="113" t="s">
        <v>116</v>
      </c>
      <c r="B93" s="113">
        <v>31</v>
      </c>
      <c r="C93" s="113">
        <v>10</v>
      </c>
      <c r="D93" s="114">
        <f t="shared" si="32"/>
        <v>175.2</v>
      </c>
      <c r="E93" s="114">
        <f t="shared" si="33"/>
        <v>135.89041095890411</v>
      </c>
      <c r="F93" s="114">
        <f t="shared" si="34"/>
        <v>311.0904109589041</v>
      </c>
      <c r="G93" s="114">
        <f t="shared" si="35"/>
        <v>311.0904109589041</v>
      </c>
      <c r="H93" s="114">
        <f t="shared" si="29"/>
        <v>285.1272015655577</v>
      </c>
      <c r="I93" s="110">
        <f t="shared" si="30"/>
        <v>25.963209393346403</v>
      </c>
      <c r="J93" s="115">
        <f t="shared" si="36"/>
        <v>10.035174547061423</v>
      </c>
      <c r="K93" s="114">
        <f t="shared" si="37"/>
        <v>10.95890410958904</v>
      </c>
      <c r="L93" s="114">
        <f t="shared" si="38"/>
        <v>6.4383561643835616</v>
      </c>
      <c r="M93" s="114">
        <f t="shared" si="39"/>
        <v>9.1976516634050878</v>
      </c>
      <c r="N93" s="114">
        <f t="shared" si="40"/>
        <v>10.035174547061423</v>
      </c>
      <c r="O93" s="114">
        <f t="shared" si="41"/>
        <v>199.58904109589039</v>
      </c>
      <c r="P93" s="114">
        <f t="shared" si="31"/>
        <v>339.72602739726028</v>
      </c>
      <c r="Q93" s="114">
        <f t="shared" si="42"/>
        <v>199.58904109589039</v>
      </c>
    </row>
    <row r="94" spans="1:17" x14ac:dyDescent="0.2">
      <c r="A94" s="113" t="s">
        <v>117</v>
      </c>
      <c r="B94" s="113">
        <v>31</v>
      </c>
      <c r="C94" s="113">
        <v>15</v>
      </c>
      <c r="D94" s="114">
        <f t="shared" si="32"/>
        <v>262.8</v>
      </c>
      <c r="E94" s="114">
        <f t="shared" si="33"/>
        <v>135.89041095890411</v>
      </c>
      <c r="F94" s="114">
        <f t="shared" si="34"/>
        <v>398.69041095890412</v>
      </c>
      <c r="G94" s="114">
        <f t="shared" si="35"/>
        <v>398.69041095890412</v>
      </c>
      <c r="H94" s="114">
        <f t="shared" si="29"/>
        <v>285.1272015655577</v>
      </c>
      <c r="I94" s="110">
        <f t="shared" si="30"/>
        <v>113.56320939334643</v>
      </c>
      <c r="J94" s="115">
        <f t="shared" si="36"/>
        <v>12.860980998674327</v>
      </c>
      <c r="K94" s="114">
        <f t="shared" si="37"/>
        <v>10.95890410958904</v>
      </c>
      <c r="L94" s="114">
        <f t="shared" si="38"/>
        <v>6.4383561643835616</v>
      </c>
      <c r="M94" s="114">
        <f t="shared" si="39"/>
        <v>9.1976516634050878</v>
      </c>
      <c r="N94" s="114">
        <f t="shared" si="40"/>
        <v>12.860980998674327</v>
      </c>
      <c r="O94" s="114">
        <f t="shared" si="41"/>
        <v>199.58904109589039</v>
      </c>
      <c r="P94" s="114">
        <f t="shared" si="31"/>
        <v>339.72602739726028</v>
      </c>
      <c r="Q94" s="114">
        <f t="shared" si="42"/>
        <v>199.58904109589039</v>
      </c>
    </row>
    <row r="95" spans="1:17" x14ac:dyDescent="0.2">
      <c r="A95" s="113" t="s">
        <v>118</v>
      </c>
      <c r="B95" s="113">
        <v>30</v>
      </c>
      <c r="C95" s="113">
        <v>30</v>
      </c>
      <c r="D95" s="114">
        <f t="shared" si="32"/>
        <v>525.6</v>
      </c>
      <c r="E95" s="114">
        <f t="shared" si="33"/>
        <v>131.50684931506851</v>
      </c>
      <c r="F95" s="114">
        <f t="shared" si="34"/>
        <v>657.10684931506853</v>
      </c>
      <c r="G95" s="114">
        <f t="shared" si="35"/>
        <v>657.10684931506853</v>
      </c>
      <c r="H95" s="114">
        <f t="shared" si="29"/>
        <v>275.92954990215264</v>
      </c>
      <c r="I95" s="110">
        <f t="shared" si="30"/>
        <v>381.17729941291589</v>
      </c>
      <c r="J95" s="115">
        <f t="shared" si="36"/>
        <v>21.903561643835619</v>
      </c>
      <c r="K95" s="114">
        <f t="shared" si="37"/>
        <v>10.95890410958904</v>
      </c>
      <c r="L95" s="114">
        <f t="shared" si="38"/>
        <v>6.4383561643835616</v>
      </c>
      <c r="M95" s="114">
        <f t="shared" si="39"/>
        <v>9.1976516634050878</v>
      </c>
      <c r="N95" s="114">
        <f t="shared" si="40"/>
        <v>21.903561643835619</v>
      </c>
      <c r="O95" s="114">
        <f t="shared" si="41"/>
        <v>193.15068493150682</v>
      </c>
      <c r="P95" s="114">
        <f t="shared" si="31"/>
        <v>328.76712328767121</v>
      </c>
      <c r="Q95" s="114">
        <f t="shared" si="42"/>
        <v>193.15068493150682</v>
      </c>
    </row>
    <row r="96" spans="1:17" x14ac:dyDescent="0.2">
      <c r="A96" s="113" t="s">
        <v>119</v>
      </c>
      <c r="B96" s="113">
        <v>31</v>
      </c>
      <c r="C96" s="113">
        <v>80</v>
      </c>
      <c r="D96" s="114">
        <f t="shared" si="32"/>
        <v>1401.6</v>
      </c>
      <c r="E96" s="114">
        <f t="shared" si="33"/>
        <v>135.89041095890411</v>
      </c>
      <c r="F96" s="114">
        <f t="shared" si="34"/>
        <v>1537.490410958904</v>
      </c>
      <c r="G96" s="114">
        <f t="shared" si="35"/>
        <v>744</v>
      </c>
      <c r="H96" s="114">
        <f t="shared" si="29"/>
        <v>285.1272015655577</v>
      </c>
      <c r="I96" s="110">
        <f t="shared" si="30"/>
        <v>1252.3632093933463</v>
      </c>
      <c r="J96" s="115">
        <f t="shared" si="36"/>
        <v>49.596464869642062</v>
      </c>
      <c r="K96" s="114">
        <f t="shared" si="37"/>
        <v>10.95890410958904</v>
      </c>
      <c r="L96" s="114">
        <f t="shared" si="38"/>
        <v>6.4383561643835616</v>
      </c>
      <c r="M96" s="114">
        <f t="shared" si="39"/>
        <v>9.1976516634050878</v>
      </c>
      <c r="N96" s="114">
        <f t="shared" si="40"/>
        <v>24</v>
      </c>
      <c r="O96" s="114">
        <f t="shared" si="41"/>
        <v>199.58904109589039</v>
      </c>
      <c r="P96" s="114">
        <f t="shared" si="31"/>
        <v>339.72602739726028</v>
      </c>
      <c r="Q96" s="114">
        <f t="shared" si="42"/>
        <v>199.58904109589039</v>
      </c>
    </row>
    <row r="97" spans="1:17" x14ac:dyDescent="0.2">
      <c r="A97" s="113" t="s">
        <v>120</v>
      </c>
      <c r="B97" s="113">
        <v>30</v>
      </c>
      <c r="C97" s="113">
        <v>120</v>
      </c>
      <c r="D97" s="114">
        <f t="shared" si="32"/>
        <v>2102.4</v>
      </c>
      <c r="E97" s="114">
        <f t="shared" si="33"/>
        <v>131.50684931506851</v>
      </c>
      <c r="F97" s="114">
        <f t="shared" si="34"/>
        <v>2233.9068493150685</v>
      </c>
      <c r="G97" s="114">
        <f t="shared" si="35"/>
        <v>720</v>
      </c>
      <c r="H97" s="114">
        <f t="shared" si="29"/>
        <v>275.92954990215264</v>
      </c>
      <c r="I97" s="110">
        <f t="shared" si="30"/>
        <v>1957.9772994129157</v>
      </c>
      <c r="J97" s="115">
        <f t="shared" si="36"/>
        <v>74.463561643835618</v>
      </c>
      <c r="K97" s="114">
        <f t="shared" si="37"/>
        <v>10.95890410958904</v>
      </c>
      <c r="L97" s="114">
        <f t="shared" si="38"/>
        <v>6.4383561643835616</v>
      </c>
      <c r="M97" s="114">
        <f t="shared" si="39"/>
        <v>9.1976516634050878</v>
      </c>
      <c r="N97" s="114">
        <f t="shared" si="40"/>
        <v>24</v>
      </c>
      <c r="O97" s="114">
        <f t="shared" si="41"/>
        <v>193.15068493150682</v>
      </c>
      <c r="P97" s="114">
        <f t="shared" si="31"/>
        <v>328.76712328767121</v>
      </c>
      <c r="Q97" s="114">
        <f t="shared" si="42"/>
        <v>193.15068493150682</v>
      </c>
    </row>
    <row r="98" spans="1:17" x14ac:dyDescent="0.2">
      <c r="A98" s="113" t="s">
        <v>121</v>
      </c>
      <c r="B98" s="113">
        <v>31</v>
      </c>
      <c r="C98" s="113">
        <v>160</v>
      </c>
      <c r="D98" s="114">
        <f t="shared" si="32"/>
        <v>2803.2</v>
      </c>
      <c r="E98" s="114">
        <f t="shared" si="33"/>
        <v>135.89041095890411</v>
      </c>
      <c r="F98" s="114">
        <f t="shared" si="34"/>
        <v>2939.0904109589037</v>
      </c>
      <c r="G98" s="114">
        <f t="shared" si="35"/>
        <v>744</v>
      </c>
      <c r="H98" s="114">
        <f t="shared" si="29"/>
        <v>285.1272015655577</v>
      </c>
      <c r="I98" s="110">
        <f t="shared" si="30"/>
        <v>2653.963209393346</v>
      </c>
      <c r="J98" s="115">
        <f t="shared" si="36"/>
        <v>94.809368095448505</v>
      </c>
      <c r="K98" s="114">
        <f t="shared" si="37"/>
        <v>10.95890410958904</v>
      </c>
      <c r="L98" s="114">
        <f t="shared" si="38"/>
        <v>6.4383561643835616</v>
      </c>
      <c r="M98" s="114">
        <f t="shared" si="39"/>
        <v>9.1976516634050878</v>
      </c>
      <c r="N98" s="114">
        <f t="shared" si="40"/>
        <v>24</v>
      </c>
      <c r="O98" s="114">
        <f t="shared" si="41"/>
        <v>199.58904109589039</v>
      </c>
      <c r="P98" s="114">
        <f t="shared" si="31"/>
        <v>339.72602739726028</v>
      </c>
      <c r="Q98" s="114">
        <f t="shared" si="42"/>
        <v>199.58904109589039</v>
      </c>
    </row>
    <row r="99" spans="1:17" x14ac:dyDescent="0.2">
      <c r="A99" s="116" t="s">
        <v>122</v>
      </c>
      <c r="B99" s="116">
        <f t="shared" ref="B99:H99" si="43">SUM(B87:B98)</f>
        <v>365</v>
      </c>
      <c r="C99" s="116">
        <f t="shared" si="43"/>
        <v>1000</v>
      </c>
      <c r="D99" s="117">
        <f t="shared" si="43"/>
        <v>17520</v>
      </c>
      <c r="E99" s="117">
        <f t="shared" si="43"/>
        <v>1600.0000000000002</v>
      </c>
      <c r="F99" s="117">
        <f t="shared" si="43"/>
        <v>19120</v>
      </c>
      <c r="G99" s="117">
        <f t="shared" si="43"/>
        <v>7593.1945205479451</v>
      </c>
      <c r="H99" s="117">
        <f t="shared" si="43"/>
        <v>3357.1428571428573</v>
      </c>
      <c r="I99" s="117">
        <f>SUM(I88:I98)</f>
        <v>12933.693933463797</v>
      </c>
      <c r="J99" s="116"/>
      <c r="K99" s="116"/>
      <c r="L99" s="116"/>
      <c r="M99" s="118"/>
      <c r="N99" s="118"/>
      <c r="O99" s="117">
        <f>SUM(O87:O98)</f>
        <v>2350</v>
      </c>
      <c r="P99" s="117">
        <f>SUM(P87:P98)</f>
        <v>3999.9999999999995</v>
      </c>
      <c r="Q99" s="117">
        <f>SUM(Q87:Q98)</f>
        <v>2350</v>
      </c>
    </row>
    <row r="101" spans="1:17" x14ac:dyDescent="0.2">
      <c r="A101" s="52" t="s">
        <v>124</v>
      </c>
      <c r="C101">
        <f>10*ROUND((H99/F83+I99/0.9+O99/F83)/10,0)</f>
        <v>21090</v>
      </c>
    </row>
    <row r="103" spans="1:17" x14ac:dyDescent="0.2">
      <c r="A103" s="52" t="s">
        <v>47</v>
      </c>
      <c r="C103">
        <f>10*ROUND(O99/10,0)</f>
        <v>2350</v>
      </c>
    </row>
    <row r="104" spans="1:17" x14ac:dyDescent="0.2">
      <c r="A104" s="52" t="s">
        <v>125</v>
      </c>
      <c r="C104">
        <f>10*ROUND(Q99/10,0)</f>
        <v>2350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Berechnung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2023-11-19T21:07:12Z</cp:lastPrinted>
  <dcterms:created xsi:type="dcterms:W3CDTF">2017-07-13T22:33:43Z</dcterms:created>
  <dcterms:modified xsi:type="dcterms:W3CDTF">2024-02-18T00:25:46Z</dcterms:modified>
</cp:coreProperties>
</file>