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atensammlung\Kleine Festplatte\Johannes\Bücher\Strom und Wärme\interaktive Tabellen\"/>
    </mc:Choice>
  </mc:AlternateContent>
  <xr:revisionPtr revIDLastSave="0" documentId="8_{E5636726-BE5C-4B3C-9251-B8942EEBB637}" xr6:coauthVersionLast="47" xr6:coauthVersionMax="47" xr10:uidLastSave="{00000000-0000-0000-0000-000000000000}"/>
  <workbookProtection workbookAlgorithmName="SHA-512" workbookHashValue="RqjABm/jFc3oCv2Rkr70HhzGmt8tih6tIocEjX5xyqo1+VUq7rhw5hu/A4fRoVldFvhZ8SQ18IvzEPoVlZWcCA==" workbookSaltValue="VgsZgeHL/5FlPkMyJIzrMw==" workbookSpinCount="100000" lockStructure="1"/>
  <bookViews>
    <workbookView xWindow="-120" yWindow="-120" windowWidth="19440" windowHeight="15000" xr2:uid="{00000000-000D-0000-FFFF-FFFF00000000}"/>
  </bookViews>
  <sheets>
    <sheet name="Haustechnikvarianten gesamt" sheetId="1" r:id="rId1"/>
    <sheet name="Haustechnikvarianten berechnen" sheetId="4" r:id="rId2"/>
    <sheet name="Berechnung" sheetId="6" state="hidden" r:id="rId3"/>
    <sheet name="Tabelle2" sheetId="2" r:id="rId4"/>
    <sheet name="Tabelle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4" l="1"/>
  <c r="D22" i="4"/>
  <c r="D9" i="4"/>
  <c r="D20" i="4" l="1"/>
  <c r="D19" i="4"/>
  <c r="D18" i="4"/>
  <c r="D16" i="4"/>
  <c r="D8" i="4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B66" i="1"/>
  <c r="C80" i="4"/>
  <c r="D80" i="4"/>
  <c r="E80" i="4"/>
  <c r="F80" i="4"/>
  <c r="G80" i="4"/>
  <c r="H80" i="4"/>
  <c r="I80" i="4"/>
  <c r="J80" i="4"/>
  <c r="K80" i="4"/>
  <c r="L80" i="4"/>
  <c r="M80" i="4"/>
  <c r="N80" i="4"/>
  <c r="B80" i="4"/>
  <c r="K45" i="1"/>
  <c r="D43" i="1"/>
  <c r="D45" i="1"/>
  <c r="K52" i="4"/>
  <c r="K53" i="4" s="1"/>
  <c r="G52" i="4"/>
  <c r="G53" i="4" s="1"/>
  <c r="H64" i="1"/>
  <c r="H63" i="1" s="1"/>
  <c r="O64" i="1"/>
  <c r="O63" i="1" s="1"/>
  <c r="V64" i="1"/>
  <c r="V63" i="1" s="1"/>
  <c r="T64" i="1"/>
  <c r="T63" i="1" s="1"/>
  <c r="B62" i="1"/>
  <c r="C26" i="6"/>
  <c r="E26" i="6" s="1"/>
  <c r="C20" i="6"/>
  <c r="C19" i="6"/>
  <c r="B5" i="6"/>
  <c r="B4" i="6"/>
  <c r="E4" i="6" s="1"/>
  <c r="B3" i="6"/>
  <c r="E3" i="6" s="1"/>
  <c r="L67" i="4"/>
  <c r="L65" i="4"/>
  <c r="K67" i="4"/>
  <c r="K66" i="4"/>
  <c r="H67" i="4"/>
  <c r="H65" i="4"/>
  <c r="G67" i="4"/>
  <c r="G66" i="4"/>
  <c r="D67" i="4"/>
  <c r="D65" i="4"/>
  <c r="C67" i="4"/>
  <c r="C66" i="4"/>
  <c r="V59" i="1"/>
  <c r="U59" i="1"/>
  <c r="T59" i="1"/>
  <c r="S59" i="1"/>
  <c r="R59" i="1"/>
  <c r="Q59" i="1"/>
  <c r="Q55" i="1"/>
  <c r="R55" i="1" s="1"/>
  <c r="S55" i="1" s="1"/>
  <c r="T55" i="1" s="1"/>
  <c r="U55" i="1" s="1"/>
  <c r="V55" i="1" s="1"/>
  <c r="Q49" i="1"/>
  <c r="R49" i="1" s="1"/>
  <c r="S49" i="1" s="1"/>
  <c r="T49" i="1" s="1"/>
  <c r="U49" i="1" s="1"/>
  <c r="V49" i="1" s="1"/>
  <c r="Q48" i="1"/>
  <c r="R48" i="1" s="1"/>
  <c r="S48" i="1" s="1"/>
  <c r="T48" i="1" s="1"/>
  <c r="U48" i="1" s="1"/>
  <c r="V48" i="1" s="1"/>
  <c r="V45" i="1"/>
  <c r="U45" i="1"/>
  <c r="R45" i="1"/>
  <c r="Q45" i="1"/>
  <c r="T44" i="1"/>
  <c r="T45" i="1" s="1"/>
  <c r="S44" i="1"/>
  <c r="S45" i="1" s="1"/>
  <c r="V41" i="1"/>
  <c r="V46" i="1" s="1"/>
  <c r="V47" i="1" s="1"/>
  <c r="U41" i="1"/>
  <c r="U46" i="1" s="1"/>
  <c r="U47" i="1" s="1"/>
  <c r="T41" i="1"/>
  <c r="T46" i="1" s="1"/>
  <c r="T47" i="1" s="1"/>
  <c r="S41" i="1"/>
  <c r="S46" i="1" s="1"/>
  <c r="S47" i="1" s="1"/>
  <c r="R41" i="1"/>
  <c r="R46" i="1" s="1"/>
  <c r="R47" i="1" s="1"/>
  <c r="Q41" i="1"/>
  <c r="Q46" i="1" s="1"/>
  <c r="Q47" i="1" s="1"/>
  <c r="O59" i="1"/>
  <c r="N59" i="1"/>
  <c r="M59" i="1"/>
  <c r="L59" i="1"/>
  <c r="K59" i="1"/>
  <c r="J59" i="1"/>
  <c r="J55" i="1"/>
  <c r="K55" i="1" s="1"/>
  <c r="L55" i="1" s="1"/>
  <c r="M55" i="1" s="1"/>
  <c r="N55" i="1" s="1"/>
  <c r="O55" i="1" s="1"/>
  <c r="J49" i="1"/>
  <c r="K49" i="1" s="1"/>
  <c r="L49" i="1" s="1"/>
  <c r="M49" i="1" s="1"/>
  <c r="N49" i="1" s="1"/>
  <c r="O49" i="1" s="1"/>
  <c r="J48" i="1"/>
  <c r="K48" i="1" s="1"/>
  <c r="L48" i="1" s="1"/>
  <c r="M48" i="1" s="1"/>
  <c r="N48" i="1" s="1"/>
  <c r="O48" i="1" s="1"/>
  <c r="O45" i="1"/>
  <c r="N45" i="1"/>
  <c r="M44" i="1"/>
  <c r="M45" i="1" s="1"/>
  <c r="L44" i="1"/>
  <c r="L45" i="1" s="1"/>
  <c r="O41" i="1"/>
  <c r="O46" i="1" s="1"/>
  <c r="O47" i="1" s="1"/>
  <c r="N41" i="1"/>
  <c r="N46" i="1" s="1"/>
  <c r="N47" i="1" s="1"/>
  <c r="M41" i="1"/>
  <c r="M46" i="1" s="1"/>
  <c r="M47" i="1" s="1"/>
  <c r="L41" i="1"/>
  <c r="K41" i="1"/>
  <c r="K46" i="1" s="1"/>
  <c r="K47" i="1" s="1"/>
  <c r="J41" i="1"/>
  <c r="B7" i="6"/>
  <c r="B6" i="6"/>
  <c r="J42" i="1" l="1"/>
  <c r="J43" i="1" s="1"/>
  <c r="J45" i="1" s="1"/>
  <c r="J46" i="1" s="1"/>
  <c r="J47" i="1" s="1"/>
  <c r="L46" i="1"/>
  <c r="L47" i="1" s="1"/>
  <c r="L42" i="1"/>
  <c r="C40" i="6"/>
  <c r="E20" i="6"/>
  <c r="C39" i="6"/>
  <c r="E19" i="6"/>
  <c r="C55" i="1"/>
  <c r="D55" i="1" s="1"/>
  <c r="E55" i="1" s="1"/>
  <c r="F55" i="1" s="1"/>
  <c r="G55" i="1" s="1"/>
  <c r="H55" i="1" s="1"/>
  <c r="G41" i="1"/>
  <c r="H41" i="1"/>
  <c r="G45" i="1"/>
  <c r="H45" i="1"/>
  <c r="G46" i="1"/>
  <c r="H46" i="1"/>
  <c r="G47" i="1"/>
  <c r="H47" i="1"/>
  <c r="D41" i="1"/>
  <c r="C41" i="1"/>
  <c r="F44" i="1"/>
  <c r="E44" i="1"/>
  <c r="F41" i="1"/>
  <c r="E41" i="1"/>
  <c r="C49" i="1"/>
  <c r="D49" i="1" s="1"/>
  <c r="E49" i="1" s="1"/>
  <c r="F49" i="1" s="1"/>
  <c r="G49" i="1" s="1"/>
  <c r="H49" i="1" s="1"/>
  <c r="C48" i="1"/>
  <c r="D48" i="1" s="1"/>
  <c r="E48" i="1" s="1"/>
  <c r="F48" i="1" s="1"/>
  <c r="G48" i="1" s="1"/>
  <c r="H48" i="1" s="1"/>
  <c r="E5" i="6"/>
  <c r="E6" i="6"/>
  <c r="E7" i="6"/>
  <c r="B8" i="6"/>
  <c r="B11" i="6" s="1"/>
  <c r="E8" i="6"/>
  <c r="B9" i="6"/>
  <c r="E9" i="6"/>
  <c r="B10" i="6"/>
  <c r="E10" i="6"/>
  <c r="E11" i="6"/>
  <c r="B12" i="6"/>
  <c r="E12" i="6"/>
  <c r="B13" i="6"/>
  <c r="E13" i="6"/>
  <c r="C21" i="6"/>
  <c r="E21" i="6"/>
  <c r="C22" i="6"/>
  <c r="E22" i="6"/>
  <c r="C23" i="6"/>
  <c r="E23" i="6"/>
  <c r="C24" i="6"/>
  <c r="E24" i="6"/>
  <c r="C27" i="6"/>
  <c r="E27" i="6"/>
  <c r="C28" i="6"/>
  <c r="E28" i="6"/>
  <c r="C32" i="6"/>
  <c r="E32" i="6"/>
  <c r="C41" i="6"/>
  <c r="E56" i="6"/>
  <c r="E57" i="6"/>
  <c r="E58" i="6"/>
  <c r="E59" i="6"/>
  <c r="E60" i="6"/>
  <c r="E61" i="6"/>
  <c r="E62" i="6"/>
  <c r="B65" i="6"/>
  <c r="E65" i="6"/>
  <c r="B72" i="6"/>
  <c r="E72" i="6"/>
  <c r="C62" i="4"/>
  <c r="D62" i="4"/>
  <c r="C42" i="1" l="1"/>
  <c r="C43" i="1" s="1"/>
  <c r="C45" i="1" s="1"/>
  <c r="C46" i="1" s="1"/>
  <c r="C47" i="1" s="1"/>
  <c r="D46" i="1"/>
  <c r="D47" i="1" s="1"/>
  <c r="D42" i="1"/>
  <c r="F45" i="1"/>
  <c r="F46" i="1" s="1"/>
  <c r="F47" i="1" s="1"/>
  <c r="E42" i="1"/>
  <c r="E45" i="1"/>
  <c r="E46" i="1" s="1"/>
  <c r="E47" i="1" s="1"/>
  <c r="C59" i="1"/>
  <c r="D59" i="1"/>
  <c r="E59" i="1"/>
  <c r="G59" i="1"/>
  <c r="E62" i="4"/>
  <c r="F62" i="4" s="1"/>
  <c r="G61" i="4" l="1"/>
  <c r="G62" i="4" l="1"/>
  <c r="H62" i="4" l="1"/>
  <c r="I62" i="4" s="1"/>
  <c r="J62" i="4" s="1"/>
  <c r="F56" i="4" l="1"/>
  <c r="E56" i="4"/>
  <c r="D56" i="4"/>
  <c r="C56" i="4"/>
  <c r="I39" i="4"/>
  <c r="E49" i="4"/>
  <c r="E71" i="4" s="1"/>
  <c r="I40" i="4"/>
  <c r="C49" i="4"/>
  <c r="C71" i="4" s="1"/>
  <c r="D49" i="4"/>
  <c r="D71" i="4" s="1"/>
  <c r="F49" i="4"/>
  <c r="F71" i="4" s="1"/>
  <c r="L47" i="4"/>
  <c r="M47" i="4" s="1"/>
  <c r="N47" i="4" s="1"/>
  <c r="H47" i="4"/>
  <c r="I47" i="4" s="1"/>
  <c r="J47" i="4" s="1"/>
  <c r="J45" i="4"/>
  <c r="N45" i="4" s="1"/>
  <c r="I45" i="4"/>
  <c r="M45" i="4" s="1"/>
  <c r="H45" i="4"/>
  <c r="L45" i="4" s="1"/>
  <c r="G45" i="4"/>
  <c r="K45" i="4" s="1"/>
  <c r="J41" i="4"/>
  <c r="N41" i="4" s="1"/>
  <c r="I41" i="4"/>
  <c r="M41" i="4" s="1"/>
  <c r="H41" i="4"/>
  <c r="L41" i="4" s="1"/>
  <c r="G41" i="4"/>
  <c r="K41" i="4" s="1"/>
  <c r="L43" i="4"/>
  <c r="H43" i="4"/>
  <c r="J40" i="4"/>
  <c r="N40" i="4" s="1"/>
  <c r="M40" i="4"/>
  <c r="H40" i="4"/>
  <c r="L40" i="4" s="1"/>
  <c r="G40" i="4"/>
  <c r="K40" i="4" s="1"/>
  <c r="J39" i="4"/>
  <c r="N39" i="4" s="1"/>
  <c r="M39" i="4"/>
  <c r="H39" i="4"/>
  <c r="L39" i="4" s="1"/>
  <c r="G39" i="4"/>
  <c r="K39" i="4" s="1"/>
  <c r="L36" i="4"/>
  <c r="M36" i="4" s="1"/>
  <c r="N36" i="4" s="1"/>
  <c r="L35" i="4"/>
  <c r="M35" i="4" s="1"/>
  <c r="N35" i="4" s="1"/>
  <c r="L34" i="4"/>
  <c r="M34" i="4" s="1"/>
  <c r="N34" i="4" s="1"/>
  <c r="H35" i="4"/>
  <c r="I35" i="4" s="1"/>
  <c r="J35" i="4" s="1"/>
  <c r="H34" i="4"/>
  <c r="I34" i="4" s="1"/>
  <c r="J34" i="4" s="1"/>
  <c r="J37" i="4"/>
  <c r="N37" i="4" s="1"/>
  <c r="I37" i="4"/>
  <c r="M37" i="4" s="1"/>
  <c r="H37" i="4"/>
  <c r="L37" i="4" s="1"/>
  <c r="G37" i="4"/>
  <c r="K37" i="4" s="1"/>
  <c r="N54" i="4"/>
  <c r="L54" i="4"/>
  <c r="L49" i="4"/>
  <c r="J54" i="4"/>
  <c r="I54" i="4"/>
  <c r="H54" i="4"/>
  <c r="H49" i="4"/>
  <c r="P41" i="1"/>
  <c r="P46" i="1"/>
  <c r="P59" i="1"/>
  <c r="I59" i="1"/>
  <c r="B57" i="1"/>
  <c r="B59" i="1" s="1"/>
  <c r="K49" i="4"/>
  <c r="K71" i="4" s="1"/>
  <c r="H71" i="4" l="1"/>
  <c r="H52" i="4"/>
  <c r="H53" i="4" s="1"/>
  <c r="L71" i="4"/>
  <c r="L52" i="4"/>
  <c r="L53" i="4" s="1"/>
  <c r="Q61" i="1"/>
  <c r="Q60" i="1"/>
  <c r="V60" i="1"/>
  <c r="V61" i="1"/>
  <c r="U60" i="1"/>
  <c r="U61" i="1"/>
  <c r="T60" i="1"/>
  <c r="T61" i="1"/>
  <c r="S60" i="1"/>
  <c r="S61" i="1"/>
  <c r="R60" i="1"/>
  <c r="R61" i="1"/>
  <c r="N61" i="1"/>
  <c r="O61" i="1"/>
  <c r="L61" i="1"/>
  <c r="M61" i="1"/>
  <c r="K61" i="1"/>
  <c r="J61" i="1"/>
  <c r="J60" i="1"/>
  <c r="K60" i="1"/>
  <c r="L60" i="1"/>
  <c r="M60" i="1"/>
  <c r="N60" i="1"/>
  <c r="O60" i="1"/>
  <c r="D61" i="1"/>
  <c r="C61" i="1"/>
  <c r="D60" i="1"/>
  <c r="C60" i="1"/>
  <c r="E61" i="1"/>
  <c r="E60" i="1"/>
  <c r="G61" i="1"/>
  <c r="G60" i="1"/>
  <c r="I43" i="4"/>
  <c r="M43" i="4"/>
  <c r="C57" i="4"/>
  <c r="D57" i="4"/>
  <c r="E57" i="4"/>
  <c r="F57" i="4"/>
  <c r="L56" i="4"/>
  <c r="L57" i="4" s="1"/>
  <c r="H56" i="4"/>
  <c r="H57" i="4" s="1"/>
  <c r="F59" i="1"/>
  <c r="N43" i="4" l="1"/>
  <c r="M49" i="4"/>
  <c r="J43" i="4"/>
  <c r="I49" i="4"/>
  <c r="F60" i="1"/>
  <c r="F61" i="1"/>
  <c r="I71" i="4" l="1"/>
  <c r="I52" i="4"/>
  <c r="I53" i="4" s="1"/>
  <c r="I56" i="4" s="1"/>
  <c r="M71" i="4"/>
  <c r="M52" i="4"/>
  <c r="M53" i="4" s="1"/>
  <c r="J49" i="4"/>
  <c r="I57" i="4"/>
  <c r="N49" i="4"/>
  <c r="H59" i="1"/>
  <c r="D21" i="4"/>
  <c r="K54" i="4"/>
  <c r="D24" i="4"/>
  <c r="M54" i="4" s="1"/>
  <c r="M56" i="4" s="1"/>
  <c r="M57" i="4" s="1"/>
  <c r="G54" i="4"/>
  <c r="D14" i="4"/>
  <c r="B56" i="1"/>
  <c r="B59" i="4"/>
  <c r="C25" i="6" s="1"/>
  <c r="N71" i="4" l="1"/>
  <c r="N52" i="4"/>
  <c r="N53" i="4" s="1"/>
  <c r="N56" i="4" s="1"/>
  <c r="J71" i="4"/>
  <c r="J52" i="4"/>
  <c r="J53" i="4" s="1"/>
  <c r="J56" i="4" s="1"/>
  <c r="E25" i="6"/>
  <c r="E29" i="6" s="1"/>
  <c r="E30" i="6" s="1"/>
  <c r="E31" i="6" s="1"/>
  <c r="E33" i="6" s="1"/>
  <c r="E34" i="6" s="1"/>
  <c r="C29" i="6"/>
  <c r="C30" i="6" s="1"/>
  <c r="C31" i="6" s="1"/>
  <c r="C33" i="6" s="1"/>
  <c r="C42" i="6"/>
  <c r="C43" i="6" s="1"/>
  <c r="C44" i="6" s="1"/>
  <c r="C45" i="6" s="1"/>
  <c r="C46" i="6" s="1"/>
  <c r="C59" i="4"/>
  <c r="B66" i="6" s="1"/>
  <c r="B67" i="6" s="1"/>
  <c r="B68" i="6" s="1"/>
  <c r="N57" i="4"/>
  <c r="J57" i="4"/>
  <c r="H60" i="1"/>
  <c r="H61" i="1"/>
  <c r="C34" i="6" l="1"/>
  <c r="K62" i="4" s="1"/>
  <c r="L62" i="4" s="1"/>
  <c r="M62" i="4" s="1"/>
  <c r="N62" i="4" s="1"/>
  <c r="K61" i="4"/>
  <c r="B73" i="6"/>
  <c r="D59" i="4"/>
  <c r="H59" i="4"/>
  <c r="L59" i="4" s="1"/>
  <c r="H61" i="4"/>
  <c r="I61" i="4" s="1"/>
  <c r="J61" i="4" s="1"/>
  <c r="K56" i="4"/>
  <c r="K57" i="4"/>
  <c r="B74" i="6" l="1"/>
  <c r="B75" i="6" s="1"/>
  <c r="I65" i="4" s="1"/>
  <c r="E65" i="4"/>
  <c r="B69" i="6"/>
  <c r="E59" i="4"/>
  <c r="I59" i="4"/>
  <c r="M59" i="4" s="1"/>
  <c r="L61" i="4"/>
  <c r="M61" i="4" s="1"/>
  <c r="D10" i="4"/>
  <c r="D7" i="4"/>
  <c r="D12" i="4"/>
  <c r="D11" i="4"/>
  <c r="D6" i="4"/>
  <c r="G59" i="4"/>
  <c r="B60" i="4"/>
  <c r="G17" i="4"/>
  <c r="G16" i="4"/>
  <c r="D17" i="4"/>
  <c r="K65" i="4" l="1"/>
  <c r="G65" i="4"/>
  <c r="C65" i="4"/>
  <c r="N61" i="4"/>
  <c r="M65" i="4"/>
  <c r="G60" i="4"/>
  <c r="C60" i="4"/>
  <c r="F59" i="4"/>
  <c r="E66" i="6" s="1"/>
  <c r="E67" i="6" s="1"/>
  <c r="E68" i="6" s="1"/>
  <c r="J59" i="4"/>
  <c r="N59" i="4" s="1"/>
  <c r="K60" i="4"/>
  <c r="K59" i="4"/>
  <c r="E73" i="6" l="1"/>
  <c r="D60" i="4"/>
  <c r="H60" i="4"/>
  <c r="L60" i="4" s="1"/>
  <c r="B68" i="4"/>
  <c r="E74" i="6" l="1"/>
  <c r="E75" i="6" s="1"/>
  <c r="F66" i="4"/>
  <c r="N66" i="4"/>
  <c r="J66" i="4"/>
  <c r="B76" i="4"/>
  <c r="C68" i="4"/>
  <c r="E69" i="6"/>
  <c r="E60" i="4"/>
  <c r="I60" i="4"/>
  <c r="M60" i="4" s="1"/>
  <c r="B70" i="4"/>
  <c r="B73" i="4" s="1"/>
  <c r="B69" i="4"/>
  <c r="L66" i="4" l="1"/>
  <c r="H66" i="4"/>
  <c r="K64" i="4"/>
  <c r="K63" i="4"/>
  <c r="G64" i="4"/>
  <c r="G63" i="4"/>
  <c r="C63" i="4"/>
  <c r="C64" i="4"/>
  <c r="L64" i="4"/>
  <c r="L63" i="4"/>
  <c r="H64" i="4"/>
  <c r="H63" i="4"/>
  <c r="D63" i="4"/>
  <c r="D64" i="4"/>
  <c r="D66" i="4"/>
  <c r="N79" i="4"/>
  <c r="N78" i="4" s="1"/>
  <c r="N77" i="4" s="1"/>
  <c r="M79" i="4"/>
  <c r="L79" i="4"/>
  <c r="L78" i="4" s="1"/>
  <c r="L77" i="4" s="1"/>
  <c r="K79" i="4"/>
  <c r="H79" i="4"/>
  <c r="H78" i="4" s="1"/>
  <c r="H77" i="4" s="1"/>
  <c r="I79" i="4"/>
  <c r="J79" i="4"/>
  <c r="J78" i="4" s="1"/>
  <c r="J77" i="4" s="1"/>
  <c r="G79" i="4"/>
  <c r="D68" i="4"/>
  <c r="F60" i="4"/>
  <c r="J60" i="4"/>
  <c r="N60" i="4" s="1"/>
  <c r="E68" i="4" l="1"/>
  <c r="D70" i="4"/>
  <c r="D73" i="4" s="1"/>
  <c r="D76" i="4"/>
  <c r="D69" i="4"/>
  <c r="C76" i="4"/>
  <c r="C70" i="4"/>
  <c r="C73" i="4" s="1"/>
  <c r="C69" i="4"/>
  <c r="D13" i="4"/>
  <c r="C78" i="4" l="1"/>
  <c r="C77" i="4"/>
  <c r="F68" i="4"/>
  <c r="E76" i="4"/>
  <c r="E69" i="4"/>
  <c r="E70" i="4"/>
  <c r="E73" i="4" s="1"/>
  <c r="D15" i="4"/>
  <c r="E78" i="4" l="1"/>
  <c r="E77" i="4"/>
  <c r="G68" i="4"/>
  <c r="H68" i="4" s="1"/>
  <c r="F69" i="4"/>
  <c r="F76" i="4"/>
  <c r="F70" i="4"/>
  <c r="F73" i="4" s="1"/>
  <c r="B56" i="4"/>
  <c r="I68" i="4" l="1"/>
  <c r="H76" i="4"/>
  <c r="H70" i="4"/>
  <c r="H73" i="4" s="1"/>
  <c r="H69" i="4"/>
  <c r="G76" i="4"/>
  <c r="G70" i="4"/>
  <c r="G69" i="4"/>
  <c r="J68" i="4" l="1"/>
  <c r="I76" i="4"/>
  <c r="I70" i="4"/>
  <c r="I73" i="4" s="1"/>
  <c r="I69" i="4"/>
  <c r="G78" i="4"/>
  <c r="G77" i="4"/>
  <c r="I78" i="4" l="1"/>
  <c r="I77" i="4"/>
  <c r="K68" i="4"/>
  <c r="J76" i="4"/>
  <c r="J70" i="4"/>
  <c r="J73" i="4" s="1"/>
  <c r="J69" i="4"/>
  <c r="G49" i="4"/>
  <c r="L68" i="4" l="1"/>
  <c r="K76" i="4"/>
  <c r="K70" i="4"/>
  <c r="K73" i="4" s="1"/>
  <c r="K69" i="4"/>
  <c r="G56" i="4"/>
  <c r="G71" i="4"/>
  <c r="G73" i="4" s="1"/>
  <c r="B49" i="4"/>
  <c r="B57" i="4"/>
  <c r="G57" i="4"/>
  <c r="B41" i="1"/>
  <c r="K78" i="4" l="1"/>
  <c r="K77" i="4"/>
  <c r="M68" i="4"/>
  <c r="L76" i="4"/>
  <c r="L70" i="4"/>
  <c r="L73" i="4" s="1"/>
  <c r="L69" i="4"/>
  <c r="F58" i="4"/>
  <c r="E58" i="4"/>
  <c r="D58" i="4"/>
  <c r="C58" i="4"/>
  <c r="N58" i="4"/>
  <c r="L58" i="4"/>
  <c r="M58" i="4"/>
  <c r="J58" i="4"/>
  <c r="I58" i="4"/>
  <c r="H58" i="4"/>
  <c r="B46" i="1"/>
  <c r="P47" i="1"/>
  <c r="K58" i="4"/>
  <c r="I47" i="1"/>
  <c r="G58" i="4"/>
  <c r="K75" i="4" l="1"/>
  <c r="K74" i="4"/>
  <c r="H74" i="4"/>
  <c r="H75" i="4"/>
  <c r="I75" i="4"/>
  <c r="I74" i="4"/>
  <c r="J74" i="4"/>
  <c r="J75" i="4"/>
  <c r="L74" i="4"/>
  <c r="L75" i="4"/>
  <c r="N68" i="4"/>
  <c r="M76" i="4"/>
  <c r="M70" i="4"/>
  <c r="M73" i="4" s="1"/>
  <c r="M69" i="4"/>
  <c r="G74" i="4"/>
  <c r="G75" i="4"/>
  <c r="F74" i="4"/>
  <c r="F75" i="4"/>
  <c r="E74" i="4"/>
  <c r="E75" i="4"/>
  <c r="D74" i="4"/>
  <c r="D75" i="4"/>
  <c r="C74" i="4"/>
  <c r="C75" i="4"/>
  <c r="M78" i="4" l="1"/>
  <c r="M77" i="4"/>
  <c r="M75" i="4"/>
  <c r="M74" i="4"/>
  <c r="N76" i="4"/>
  <c r="N70" i="4"/>
  <c r="N73" i="4" s="1"/>
  <c r="N69" i="4"/>
  <c r="N74" i="4" l="1"/>
  <c r="N75" i="4"/>
</calcChain>
</file>

<file path=xl/sharedStrings.xml><?xml version="1.0" encoding="utf-8"?>
<sst xmlns="http://schemas.openxmlformats.org/spreadsheetml/2006/main" count="472" uniqueCount="201">
  <si>
    <t>Bezeichnung</t>
  </si>
  <si>
    <t>Investition</t>
  </si>
  <si>
    <t>Kosteneinsparung nach 20 Jahren</t>
  </si>
  <si>
    <t>Förderung</t>
  </si>
  <si>
    <t>Solarthermie</t>
  </si>
  <si>
    <t>Wärmeerzeuger</t>
  </si>
  <si>
    <t>Schornstein</t>
  </si>
  <si>
    <t>Gasanschluss</t>
  </si>
  <si>
    <t>Heizsystem</t>
  </si>
  <si>
    <t>Photovoltaik</t>
  </si>
  <si>
    <t>Batteriespeicher</t>
  </si>
  <si>
    <t>verbleibende Investition</t>
  </si>
  <si>
    <t>Stromverbrauch</t>
  </si>
  <si>
    <t>kWh/a</t>
  </si>
  <si>
    <t>Amortisationszeit (a - Jahre)</t>
  </si>
  <si>
    <t>CO2 (t/a - Tonnen pro Jahr)</t>
  </si>
  <si>
    <t>Endenergie (kWh/a - kWh pro Jahr)</t>
  </si>
  <si>
    <t>Gaspreis</t>
  </si>
  <si>
    <t>Strompreis</t>
  </si>
  <si>
    <t>Cent/kWh</t>
  </si>
  <si>
    <t>Strom</t>
  </si>
  <si>
    <t>Holzpreis</t>
  </si>
  <si>
    <t>Pelletpreis</t>
  </si>
  <si>
    <t>€/ rm</t>
  </si>
  <si>
    <t>€/ t</t>
  </si>
  <si>
    <t>kWh/rm</t>
  </si>
  <si>
    <t>kWh/t</t>
  </si>
  <si>
    <t>CO2-Faktoren:</t>
  </si>
  <si>
    <t>Gas</t>
  </si>
  <si>
    <t>Holz</t>
  </si>
  <si>
    <t>Pellet</t>
  </si>
  <si>
    <t>kg/kWh</t>
  </si>
  <si>
    <t>Ausgangswerte:</t>
  </si>
  <si>
    <t>Ist-Zustand</t>
  </si>
  <si>
    <t>Brennstofflager</t>
  </si>
  <si>
    <t>Wasserspeicher</t>
  </si>
  <si>
    <t>Instandhaltungsanteil</t>
  </si>
  <si>
    <t>Ölpreis</t>
  </si>
  <si>
    <t>Öl</t>
  </si>
  <si>
    <t>Energiekosten pro Jahr</t>
  </si>
  <si>
    <t>Wartungskosten etc. pro Jahr</t>
  </si>
  <si>
    <t>Betriebskosten pro Jahr</t>
  </si>
  <si>
    <t>Strom pro Jahr</t>
  </si>
  <si>
    <t>Investition im Vergleich</t>
  </si>
  <si>
    <t xml:space="preserve"> Investitionskosten: höchstens 5.000 € Zusatzkosten</t>
  </si>
  <si>
    <t xml:space="preserve"> Kohlendioxidbelastung: höchstens 2 Tonnen jährlich</t>
  </si>
  <si>
    <t>Betriebskosten: höchstens 1.500 € jährlich</t>
  </si>
  <si>
    <t>Autarkie Wärme: mindestens 50 Prozent</t>
  </si>
  <si>
    <t>Kosteneinsparung: mindestens 5.000 € über 20 Jahre</t>
  </si>
  <si>
    <t>Amortisationszeit: höchstens 10 Jahre</t>
  </si>
  <si>
    <t>Ölverbrauch</t>
  </si>
  <si>
    <t>Liter</t>
  </si>
  <si>
    <t>In diesen Feldern stehen die im Ratgeber dokumentierten Vorgabewerte</t>
  </si>
  <si>
    <t>grüne Schriftfarbe</t>
  </si>
  <si>
    <t>rote Schriftfarbe</t>
  </si>
  <si>
    <t>Bei dieser Varianten ist die Investition geringer als im Ist-Zustand</t>
  </si>
  <si>
    <t>In dieser Zeile ist die Variante ungünstiger als der Ist-Zustand</t>
  </si>
  <si>
    <t>Bitte eigene Werte eintragen</t>
  </si>
  <si>
    <t>Förderfähig für BEG EM</t>
  </si>
  <si>
    <t>Förderung BEG EM</t>
  </si>
  <si>
    <t xml:space="preserve">sonstige Förderung </t>
  </si>
  <si>
    <t>Sonstige Förderung</t>
  </si>
  <si>
    <t>Förderung Land/ Kommune</t>
  </si>
  <si>
    <t>Heizwärme pro Jahr</t>
  </si>
  <si>
    <t>Warmwasserbereitung pro Jahr</t>
  </si>
  <si>
    <t>kWh</t>
  </si>
  <si>
    <t>Wartungskosten</t>
  </si>
  <si>
    <t>Gasverbrauch</t>
  </si>
  <si>
    <t>Energie für Warmwasser (aus Tab.1)</t>
  </si>
  <si>
    <t>Verluste Warmwasser (aus Tab1)</t>
  </si>
  <si>
    <t>Scheitholzverbrauch</t>
  </si>
  <si>
    <t>Pelletverbrauch</t>
  </si>
  <si>
    <t>Heizstromverbrauch</t>
  </si>
  <si>
    <t>rm</t>
  </si>
  <si>
    <t>t</t>
  </si>
  <si>
    <t>Heizstrompreis</t>
  </si>
  <si>
    <t>Erdgas pro Jahr</t>
  </si>
  <si>
    <t xml:space="preserve">                            1,4 €/ Liter</t>
  </si>
  <si>
    <t xml:space="preserve">                            12,0 ct/kWh</t>
  </si>
  <si>
    <t xml:space="preserve">                            40,0 ct/kWh</t>
  </si>
  <si>
    <t xml:space="preserve">                            35,0 ct/kWh</t>
  </si>
  <si>
    <t xml:space="preserve">                          4000 kWh/a</t>
  </si>
  <si>
    <t>Wirkungsgrad Heizung (Brennwert)</t>
  </si>
  <si>
    <t>€/Liter</t>
  </si>
  <si>
    <t>Neubauvorhaben</t>
  </si>
  <si>
    <t>a</t>
  </si>
  <si>
    <t>n oder a eingeben</t>
  </si>
  <si>
    <t>%</t>
  </si>
  <si>
    <t>Fläche Kollektor</t>
  </si>
  <si>
    <t>Vorlauftemperatur</t>
  </si>
  <si>
    <t>thermische</t>
  </si>
  <si>
    <t xml:space="preserve">Solaranlage </t>
  </si>
  <si>
    <t>nur Brauchwasser</t>
  </si>
  <si>
    <t>Flachkollektor</t>
  </si>
  <si>
    <t>Röhrenkollektor</t>
  </si>
  <si>
    <t>auch Heizung</t>
  </si>
  <si>
    <t>Luftkollektor</t>
  </si>
  <si>
    <t>Fläche</t>
  </si>
  <si>
    <t>Brauchwasser Anlage Flachkollektor</t>
  </si>
  <si>
    <t>Ertrag</t>
  </si>
  <si>
    <t>Solarertrag</t>
  </si>
  <si>
    <t>Öl pro Jahr</t>
  </si>
  <si>
    <t>Scheitholz pro Jahr</t>
  </si>
  <si>
    <t>Pellet pro Jahr</t>
  </si>
  <si>
    <t>Heizstrom pro Jahr</t>
  </si>
  <si>
    <t>Solarertrag pro Jahr</t>
  </si>
  <si>
    <t>Faktor</t>
  </si>
  <si>
    <t>Globalstrahlung</t>
  </si>
  <si>
    <t>kWh/m²a</t>
  </si>
  <si>
    <t>Globalstarhlung</t>
  </si>
  <si>
    <t>korr Solarertrag</t>
  </si>
  <si>
    <t>WW</t>
  </si>
  <si>
    <t>Heizungsunterstützung Flachkollektor</t>
  </si>
  <si>
    <t>Vorlauftemp</t>
  </si>
  <si>
    <t>Eingangsdaten:</t>
  </si>
  <si>
    <t xml:space="preserve"> WW</t>
  </si>
  <si>
    <t>Heizwärme</t>
  </si>
  <si>
    <t>VL</t>
  </si>
  <si>
    <t>Kolektorart</t>
  </si>
  <si>
    <t>Flach</t>
  </si>
  <si>
    <t>Röhre</t>
  </si>
  <si>
    <t>Luft</t>
  </si>
  <si>
    <t>Ausgabe</t>
  </si>
  <si>
    <t>Ertrag/m2</t>
  </si>
  <si>
    <t>Wenn Luft</t>
  </si>
  <si>
    <t>Wenn Flach</t>
  </si>
  <si>
    <t>wenn 4 p</t>
  </si>
  <si>
    <t>wenn wenig Heizung</t>
  </si>
  <si>
    <t>NT-Hzg</t>
  </si>
  <si>
    <t>nur WW</t>
  </si>
  <si>
    <t>Korr WW</t>
  </si>
  <si>
    <t>Korr Hzg</t>
  </si>
  <si>
    <t>Tabelle 7:</t>
  </si>
  <si>
    <t>zu Kapitel 3, Holzheizungen und thermische Solaranlagen</t>
  </si>
  <si>
    <t>Holzofen</t>
  </si>
  <si>
    <t>Holzkessel</t>
  </si>
  <si>
    <t>Pelletofen</t>
  </si>
  <si>
    <t>Pelletkessel</t>
  </si>
  <si>
    <t xml:space="preserve">Wikungsgrad (Brennwert) Ofen/ Kessel </t>
  </si>
  <si>
    <t>Variante 8 a</t>
  </si>
  <si>
    <t>Variante 8 b</t>
  </si>
  <si>
    <t>und Holzofen</t>
  </si>
  <si>
    <t>Variante 8 b -1</t>
  </si>
  <si>
    <t>Variante 8 c - 1</t>
  </si>
  <si>
    <t>Variante 8 c -2</t>
  </si>
  <si>
    <t>und Pelletofen</t>
  </si>
  <si>
    <t>und Holzkessel</t>
  </si>
  <si>
    <t>und Pelletkessel</t>
  </si>
  <si>
    <t>Variante 8 d - 1</t>
  </si>
  <si>
    <t>Variante 8 d - 2</t>
  </si>
  <si>
    <t>Variante 8 d - 3</t>
  </si>
  <si>
    <t>Einsparung pro Jahr</t>
  </si>
  <si>
    <t>WWVerl</t>
  </si>
  <si>
    <t>WWNutz</t>
  </si>
  <si>
    <t>Verbl WW</t>
  </si>
  <si>
    <t>Einsparung</t>
  </si>
  <si>
    <t>Verbl. WW</t>
  </si>
  <si>
    <t>Nutzwärme</t>
  </si>
  <si>
    <t>Wirkungsgrad</t>
  </si>
  <si>
    <t>Verbrauch</t>
  </si>
  <si>
    <t>Autarkie Wärme (mit eigenem Holz)</t>
  </si>
  <si>
    <t>sonstige Betreibskosten pro Jahr</t>
  </si>
  <si>
    <t>Autarkie gesamt (mit eignem Holz)</t>
  </si>
  <si>
    <t>Autarkie gesamt (mit gekauftem Holz)</t>
  </si>
  <si>
    <t>Variante 8 a - 1</t>
  </si>
  <si>
    <t>Variante 8 b - 1</t>
  </si>
  <si>
    <t>Variante 8 c - 2</t>
  </si>
  <si>
    <t>Scheitholz pro Jahr (rm)</t>
  </si>
  <si>
    <t>Pellet pro Jahr (t)</t>
  </si>
  <si>
    <t>Holzwärme</t>
  </si>
  <si>
    <t>Autarkie gesamt (eigenes Holz) : mindestens 50 Prozent</t>
  </si>
  <si>
    <t>Autarkie gesamt (eigenes Holz): mindestens 50 Prozent</t>
  </si>
  <si>
    <t>Autarkie gesamt (gekauftes Holz): mindestens 50 Prozent</t>
  </si>
  <si>
    <t>Variante 8 c -3</t>
  </si>
  <si>
    <t>Variante 8 c -4</t>
  </si>
  <si>
    <t>Variante 8 d - 3 - 1</t>
  </si>
  <si>
    <t>Variante 8  d - 3 - 2</t>
  </si>
  <si>
    <t>Variante 8 d - 4 - 1</t>
  </si>
  <si>
    <t>Variante 8 d - 4 - 2</t>
  </si>
  <si>
    <t>Variante 8  d - 1</t>
  </si>
  <si>
    <t>Haushalt A</t>
  </si>
  <si>
    <t>Haushalt B</t>
  </si>
  <si>
    <t>Haushalt C</t>
  </si>
  <si>
    <t>Variante 8 d - 4</t>
  </si>
  <si>
    <t>Die Förderung bezieht sich auf die neue Bundesförderung für effiziente Gebäude (BEG) ab 01.01.2024</t>
  </si>
  <si>
    <t>maximale föderfähige Kosten</t>
  </si>
  <si>
    <t>Fördersatz</t>
  </si>
  <si>
    <t>Energiepreise Stand 2023 teilweise orientiert an den Preisdeckeln, ohne Preissteigerung</t>
  </si>
  <si>
    <t>Tragen Sie hier Ihre individuellen Werte ein  - Stand 02.01.2024</t>
  </si>
  <si>
    <t>mit Wassertasche</t>
  </si>
  <si>
    <t>Vollständige Tabelle mit allen Varianten  - Stand 02.01.2024</t>
  </si>
  <si>
    <t>Ausrichtungsfaktor  (aus Abb.3, Kap.2)</t>
  </si>
  <si>
    <t>Wohnfläche</t>
  </si>
  <si>
    <t>m²</t>
  </si>
  <si>
    <t>Energiekennwert</t>
  </si>
  <si>
    <t>Bewertung des Energiekennwerts:</t>
  </si>
  <si>
    <t>gut</t>
  </si>
  <si>
    <t>mittel</t>
  </si>
  <si>
    <t>schlecht</t>
  </si>
  <si>
    <t>bis mittel</t>
  </si>
  <si>
    <t>bis 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</si>
</sst>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#,##0\ &quot;€&quot;;[Red]\-#,##0\ &quot;€&quot;"/>
    <numFmt numFmtId="164" formatCode="#,##0\ &quot;€&quot;"/>
    <numFmt numFmtId="165" formatCode="#,##0\ &quot;kWh/a&quot;"/>
    <numFmt numFmtId="166" formatCode="0.0\ &quot;t/a&quot;"/>
    <numFmt numFmtId="167" formatCode="0\ \ &quot;a&quot;"/>
    <numFmt numFmtId="168" formatCode="0.0\ \ &quot;a&quot;"/>
    <numFmt numFmtId="169" formatCode="#,##0.0"/>
    <numFmt numFmtId="170" formatCode="#,##0.000"/>
    <numFmt numFmtId="171" formatCode="0.0"/>
    <numFmt numFmtId="172" formatCode="0.000"/>
    <numFmt numFmtId="173" formatCode="0.0\ &quot;ct/kWh&quot;"/>
    <numFmt numFmtId="174" formatCode="#,##0\ &quot;Liter/a&quot;"/>
    <numFmt numFmtId="175" formatCode="0.0\ &quot;m²&quot;"/>
    <numFmt numFmtId="176" formatCode="#,##0\ &quot;oC&quot;"/>
    <numFmt numFmtId="177" formatCode="#,##0\ &quot;kWh/m²a&quot;"/>
    <numFmt numFmtId="178" formatCode="0.0%"/>
    <numFmt numFmtId="179" formatCode="#,##0\ &quot;l/a&quot;"/>
    <numFmt numFmtId="180" formatCode="0\ &quot;m²&quot;"/>
    <numFmt numFmtId="181" formatCode="0\ &quot;oC&quot;"/>
    <numFmt numFmtId="182" formatCode="#,##0.0\ &quot;rm/a&quot;"/>
  </numFmts>
  <fonts count="13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0"/>
      <color rgb="FF339933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34BC9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6600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166" fontId="0" fillId="0" borderId="0" xfId="0" applyNumberFormat="1"/>
    <xf numFmtId="6" fontId="0" fillId="0" borderId="0" xfId="0" applyNumberFormat="1"/>
    <xf numFmtId="0" fontId="2" fillId="0" borderId="0" xfId="0" applyFont="1" applyAlignment="1">
      <alignment horizontal="right"/>
    </xf>
    <xf numFmtId="0" fontId="6" fillId="0" borderId="0" xfId="0" applyFont="1"/>
    <xf numFmtId="0" fontId="0" fillId="11" borderId="0" xfId="0" applyFill="1"/>
    <xf numFmtId="0" fontId="0" fillId="11" borderId="3" xfId="0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1" fillId="11" borderId="10" xfId="0" applyFont="1" applyFill="1" applyBorder="1"/>
    <xf numFmtId="0" fontId="0" fillId="11" borderId="11" xfId="0" applyFill="1" applyBorder="1"/>
    <xf numFmtId="0" fontId="0" fillId="11" borderId="12" xfId="0" applyFill="1" applyBorder="1"/>
    <xf numFmtId="0" fontId="0" fillId="11" borderId="10" xfId="0" applyFill="1" applyBorder="1"/>
    <xf numFmtId="0" fontId="1" fillId="0" borderId="1" xfId="0" applyFont="1" applyBorder="1"/>
    <xf numFmtId="0" fontId="1" fillId="3" borderId="1" xfId="0" applyFont="1" applyFill="1" applyBorder="1"/>
    <xf numFmtId="164" fontId="0" fillId="0" borderId="1" xfId="0" applyNumberFormat="1" applyBorder="1"/>
    <xf numFmtId="0" fontId="1" fillId="0" borderId="14" xfId="0" applyFont="1" applyBorder="1"/>
    <xf numFmtId="164" fontId="1" fillId="0" borderId="14" xfId="0" applyNumberFormat="1" applyFont="1" applyBorder="1"/>
    <xf numFmtId="6" fontId="1" fillId="0" borderId="14" xfId="0" applyNumberFormat="1" applyFont="1" applyBorder="1"/>
    <xf numFmtId="165" fontId="1" fillId="0" borderId="14" xfId="0" applyNumberFormat="1" applyFont="1" applyBorder="1"/>
    <xf numFmtId="0" fontId="1" fillId="0" borderId="15" xfId="0" applyFont="1" applyBorder="1"/>
    <xf numFmtId="0" fontId="1" fillId="0" borderId="13" xfId="0" applyFont="1" applyBorder="1"/>
    <xf numFmtId="164" fontId="0" fillId="0" borderId="13" xfId="0" applyNumberFormat="1" applyBorder="1"/>
    <xf numFmtId="164" fontId="0" fillId="11" borderId="16" xfId="0" applyNumberFormat="1" applyFill="1" applyBorder="1"/>
    <xf numFmtId="164" fontId="0" fillId="11" borderId="17" xfId="0" applyNumberFormat="1" applyFill="1" applyBorder="1"/>
    <xf numFmtId="164" fontId="1" fillId="11" borderId="16" xfId="0" applyNumberFormat="1" applyFont="1" applyFill="1" applyBorder="1"/>
    <xf numFmtId="164" fontId="1" fillId="11" borderId="17" xfId="0" applyNumberFormat="1" applyFont="1" applyFill="1" applyBorder="1"/>
    <xf numFmtId="0" fontId="1" fillId="0" borderId="16" xfId="0" applyFont="1" applyBorder="1"/>
    <xf numFmtId="165" fontId="0" fillId="0" borderId="16" xfId="0" applyNumberFormat="1" applyBorder="1"/>
    <xf numFmtId="0" fontId="1" fillId="0" borderId="2" xfId="0" applyFont="1" applyBorder="1"/>
    <xf numFmtId="165" fontId="0" fillId="0" borderId="2" xfId="0" applyNumberFormat="1" applyBorder="1"/>
    <xf numFmtId="164" fontId="0" fillId="0" borderId="2" xfId="0" applyNumberFormat="1" applyBorder="1"/>
    <xf numFmtId="164" fontId="1" fillId="0" borderId="13" xfId="0" applyNumberFormat="1" applyFont="1" applyBorder="1"/>
    <xf numFmtId="164" fontId="3" fillId="0" borderId="13" xfId="0" applyNumberFormat="1" applyFont="1" applyBorder="1"/>
    <xf numFmtId="6" fontId="0" fillId="0" borderId="13" xfId="0" applyNumberFormat="1" applyBorder="1"/>
    <xf numFmtId="167" fontId="0" fillId="0" borderId="13" xfId="0" applyNumberFormat="1" applyBorder="1"/>
    <xf numFmtId="168" fontId="4" fillId="0" borderId="13" xfId="0" applyNumberFormat="1" applyFont="1" applyBorder="1"/>
    <xf numFmtId="166" fontId="0" fillId="0" borderId="13" xfId="0" applyNumberFormat="1" applyBorder="1"/>
    <xf numFmtId="9" fontId="0" fillId="0" borderId="13" xfId="0" applyNumberFormat="1" applyBorder="1"/>
    <xf numFmtId="6" fontId="0" fillId="11" borderId="18" xfId="0" applyNumberFormat="1" applyFill="1" applyBorder="1"/>
    <xf numFmtId="0" fontId="3" fillId="0" borderId="19" xfId="0" applyFont="1" applyBorder="1"/>
    <xf numFmtId="0" fontId="0" fillId="0" borderId="19" xfId="0" applyBorder="1"/>
    <xf numFmtId="0" fontId="0" fillId="0" borderId="20" xfId="0" applyBorder="1"/>
    <xf numFmtId="0" fontId="7" fillId="0" borderId="21" xfId="0" applyFont="1" applyBorder="1"/>
    <xf numFmtId="0" fontId="3" fillId="0" borderId="0" xfId="0" applyFont="1"/>
    <xf numFmtId="0" fontId="0" fillId="0" borderId="22" xfId="0" applyBorder="1"/>
    <xf numFmtId="0" fontId="5" fillId="0" borderId="23" xfId="0" applyFont="1" applyBorder="1"/>
    <xf numFmtId="0" fontId="3" fillId="0" borderId="24" xfId="0" applyFont="1" applyBorder="1"/>
    <xf numFmtId="0" fontId="0" fillId="0" borderId="24" xfId="0" applyBorder="1"/>
    <xf numFmtId="0" fontId="0" fillId="0" borderId="25" xfId="0" applyBorder="1"/>
    <xf numFmtId="6" fontId="0" fillId="5" borderId="18" xfId="0" applyNumberFormat="1" applyFill="1" applyBorder="1"/>
    <xf numFmtId="166" fontId="0" fillId="6" borderId="19" xfId="0" applyNumberFormat="1" applyFill="1" applyBorder="1"/>
    <xf numFmtId="6" fontId="0" fillId="0" borderId="19" xfId="0" applyNumberFormat="1" applyBorder="1"/>
    <xf numFmtId="164" fontId="0" fillId="7" borderId="21" xfId="0" applyNumberFormat="1" applyFill="1" applyBorder="1"/>
    <xf numFmtId="9" fontId="0" fillId="8" borderId="0" xfId="0" applyNumberFormat="1" applyFill="1"/>
    <xf numFmtId="6" fontId="0" fillId="9" borderId="21" xfId="0" applyNumberFormat="1" applyFill="1" applyBorder="1"/>
    <xf numFmtId="9" fontId="0" fillId="10" borderId="0" xfId="0" applyNumberFormat="1" applyFill="1"/>
    <xf numFmtId="167" fontId="4" fillId="4" borderId="23" xfId="0" applyNumberFormat="1" applyFont="1" applyFill="1" applyBorder="1"/>
    <xf numFmtId="0" fontId="6" fillId="12" borderId="0" xfId="0" applyFont="1" applyFill="1"/>
    <xf numFmtId="169" fontId="0" fillId="2" borderId="2" xfId="0" applyNumberForma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0" fontId="3" fillId="11" borderId="2" xfId="0" applyFont="1" applyFill="1" applyBorder="1"/>
    <xf numFmtId="0" fontId="0" fillId="11" borderId="2" xfId="0" applyFill="1" applyBorder="1"/>
    <xf numFmtId="4" fontId="0" fillId="2" borderId="2" xfId="0" applyNumberFormat="1" applyFill="1" applyBorder="1" applyProtection="1">
      <protection locked="0"/>
    </xf>
    <xf numFmtId="0" fontId="8" fillId="11" borderId="12" xfId="0" applyFont="1" applyFill="1" applyBorder="1"/>
    <xf numFmtId="0" fontId="1" fillId="11" borderId="2" xfId="0" applyFont="1" applyFill="1" applyBorder="1"/>
    <xf numFmtId="170" fontId="0" fillId="2" borderId="11" xfId="0" applyNumberFormat="1" applyFill="1" applyBorder="1" applyProtection="1">
      <protection locked="0"/>
    </xf>
    <xf numFmtId="0" fontId="9" fillId="11" borderId="10" xfId="0" applyFont="1" applyFill="1" applyBorder="1"/>
    <xf numFmtId="0" fontId="8" fillId="11" borderId="10" xfId="0" applyFont="1" applyFill="1" applyBorder="1"/>
    <xf numFmtId="3" fontId="8" fillId="11" borderId="10" xfId="0" applyNumberFormat="1" applyFont="1" applyFill="1" applyBorder="1"/>
    <xf numFmtId="164" fontId="0" fillId="2" borderId="1" xfId="0" applyNumberFormat="1" applyFill="1" applyBorder="1" applyProtection="1">
      <protection locked="0"/>
    </xf>
    <xf numFmtId="164" fontId="0" fillId="0" borderId="16" xfId="0" applyNumberFormat="1" applyBorder="1"/>
    <xf numFmtId="164" fontId="0" fillId="2" borderId="16" xfId="0" applyNumberFormat="1" applyFill="1" applyBorder="1" applyProtection="1">
      <protection locked="0"/>
    </xf>
    <xf numFmtId="167" fontId="4" fillId="0" borderId="13" xfId="0" applyNumberFormat="1" applyFont="1" applyBorder="1"/>
    <xf numFmtId="0" fontId="10" fillId="0" borderId="0" xfId="0" applyFont="1"/>
    <xf numFmtId="0" fontId="1" fillId="0" borderId="26" xfId="0" applyFont="1" applyBorder="1"/>
    <xf numFmtId="164" fontId="0" fillId="0" borderId="26" xfId="0" applyNumberFormat="1" applyBorder="1"/>
    <xf numFmtId="164" fontId="0" fillId="2" borderId="2" xfId="0" applyNumberFormat="1" applyFill="1" applyBorder="1" applyProtection="1">
      <protection locked="0"/>
    </xf>
    <xf numFmtId="0" fontId="1" fillId="0" borderId="27" xfId="0" applyFont="1" applyBorder="1"/>
    <xf numFmtId="164" fontId="0" fillId="0" borderId="27" xfId="0" applyNumberFormat="1" applyBorder="1"/>
    <xf numFmtId="164" fontId="0" fillId="11" borderId="2" xfId="0" applyNumberFormat="1" applyFill="1" applyBorder="1"/>
    <xf numFmtId="0" fontId="1" fillId="11" borderId="27" xfId="0" applyFont="1" applyFill="1" applyBorder="1"/>
    <xf numFmtId="164" fontId="0" fillId="11" borderId="27" xfId="0" applyNumberFormat="1" applyFill="1" applyBorder="1"/>
    <xf numFmtId="3" fontId="0" fillId="11" borderId="11" xfId="0" applyNumberFormat="1" applyFill="1" applyBorder="1"/>
    <xf numFmtId="171" fontId="8" fillId="11" borderId="10" xfId="0" applyNumberFormat="1" applyFont="1" applyFill="1" applyBorder="1"/>
    <xf numFmtId="164" fontId="0" fillId="0" borderId="14" xfId="0" applyNumberFormat="1" applyBorder="1"/>
    <xf numFmtId="172" fontId="0" fillId="11" borderId="11" xfId="0" applyNumberFormat="1" applyFill="1" applyBorder="1"/>
    <xf numFmtId="172" fontId="0" fillId="11" borderId="0" xfId="0" applyNumberFormat="1" applyFill="1"/>
    <xf numFmtId="0" fontId="3" fillId="12" borderId="0" xfId="0" applyFont="1" applyFill="1" applyAlignment="1">
      <alignment vertical="top"/>
    </xf>
    <xf numFmtId="0" fontId="0" fillId="12" borderId="0" xfId="0" applyFill="1" applyAlignment="1">
      <alignment vertical="top"/>
    </xf>
    <xf numFmtId="0" fontId="8" fillId="11" borderId="0" xfId="0" applyFont="1" applyFill="1"/>
    <xf numFmtId="0" fontId="8" fillId="11" borderId="7" xfId="0" applyFont="1" applyFill="1" applyBorder="1"/>
    <xf numFmtId="172" fontId="8" fillId="11" borderId="10" xfId="0" applyNumberFormat="1" applyFont="1" applyFill="1" applyBorder="1"/>
    <xf numFmtId="165" fontId="0" fillId="0" borderId="0" xfId="0" applyNumberFormat="1"/>
    <xf numFmtId="0" fontId="11" fillId="0" borderId="0" xfId="0" applyFont="1"/>
    <xf numFmtId="165" fontId="0" fillId="0" borderId="26" xfId="0" applyNumberFormat="1" applyBorder="1"/>
    <xf numFmtId="2" fontId="0" fillId="0" borderId="0" xfId="0" applyNumberFormat="1"/>
    <xf numFmtId="9" fontId="3" fillId="2" borderId="2" xfId="0" applyNumberFormat="1" applyFont="1" applyFill="1" applyBorder="1" applyAlignment="1" applyProtection="1">
      <alignment horizontal="right"/>
      <protection locked="0"/>
    </xf>
    <xf numFmtId="0" fontId="8" fillId="11" borderId="11" xfId="0" applyFont="1" applyFill="1" applyBorder="1"/>
    <xf numFmtId="0" fontId="3" fillId="11" borderId="11" xfId="0" applyFont="1" applyFill="1" applyBorder="1"/>
    <xf numFmtId="173" fontId="12" fillId="11" borderId="11" xfId="0" applyNumberFormat="1" applyFont="1" applyFill="1" applyBorder="1" applyAlignment="1">
      <alignment horizontal="left"/>
    </xf>
    <xf numFmtId="0" fontId="0" fillId="11" borderId="28" xfId="0" applyFill="1" applyBorder="1"/>
    <xf numFmtId="3" fontId="0" fillId="2" borderId="18" xfId="0" applyNumberFormat="1" applyFill="1" applyBorder="1"/>
    <xf numFmtId="0" fontId="1" fillId="11" borderId="28" xfId="0" applyFont="1" applyFill="1" applyBorder="1"/>
    <xf numFmtId="3" fontId="8" fillId="11" borderId="10" xfId="0" applyNumberFormat="1" applyFont="1" applyFill="1" applyBorder="1" applyAlignment="1">
      <alignment horizontal="center"/>
    </xf>
    <xf numFmtId="175" fontId="3" fillId="2" borderId="2" xfId="0" applyNumberFormat="1" applyFont="1" applyFill="1" applyBorder="1" applyAlignment="1" applyProtection="1">
      <alignment horizontal="right"/>
      <protection locked="0"/>
    </xf>
    <xf numFmtId="9" fontId="3" fillId="0" borderId="2" xfId="0" applyNumberFormat="1" applyFont="1" applyBorder="1" applyAlignment="1">
      <alignment horizontal="right"/>
    </xf>
    <xf numFmtId="176" fontId="3" fillId="2" borderId="2" xfId="0" applyNumberFormat="1" applyFont="1" applyFill="1" applyBorder="1" applyAlignment="1" applyProtection="1">
      <alignment horizontal="right"/>
      <protection locked="0"/>
    </xf>
    <xf numFmtId="177" fontId="3" fillId="11" borderId="2" xfId="0" applyNumberFormat="1" applyFont="1" applyFill="1" applyBorder="1"/>
    <xf numFmtId="3" fontId="8" fillId="11" borderId="12" xfId="0" applyNumberFormat="1" applyFont="1" applyFill="1" applyBorder="1"/>
    <xf numFmtId="0" fontId="0" fillId="13" borderId="0" xfId="0" applyFill="1"/>
    <xf numFmtId="178" fontId="0" fillId="0" borderId="13" xfId="0" applyNumberFormat="1" applyBorder="1"/>
    <xf numFmtId="179" fontId="0" fillId="0" borderId="26" xfId="0" applyNumberFormat="1" applyBorder="1"/>
    <xf numFmtId="174" fontId="3" fillId="11" borderId="2" xfId="0" applyNumberFormat="1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165" fontId="3" fillId="11" borderId="2" xfId="0" applyNumberFormat="1" applyFont="1" applyFill="1" applyBorder="1" applyAlignment="1">
      <alignment horizontal="center"/>
    </xf>
    <xf numFmtId="180" fontId="3" fillId="11" borderId="2" xfId="0" applyNumberFormat="1" applyFont="1" applyFill="1" applyBorder="1" applyAlignment="1">
      <alignment horizontal="center"/>
    </xf>
    <xf numFmtId="9" fontId="3" fillId="11" borderId="2" xfId="0" applyNumberFormat="1" applyFont="1" applyFill="1" applyBorder="1" applyAlignment="1">
      <alignment horizontal="center"/>
    </xf>
    <xf numFmtId="181" fontId="3" fillId="11" borderId="2" xfId="0" applyNumberFormat="1" applyFont="1" applyFill="1" applyBorder="1" applyAlignment="1">
      <alignment horizontal="center"/>
    </xf>
    <xf numFmtId="169" fontId="8" fillId="11" borderId="10" xfId="0" applyNumberFormat="1" applyFont="1" applyFill="1" applyBorder="1"/>
    <xf numFmtId="171" fontId="0" fillId="11" borderId="2" xfId="0" applyNumberFormat="1" applyFill="1" applyBorder="1"/>
    <xf numFmtId="178" fontId="3" fillId="2" borderId="26" xfId="0" applyNumberFormat="1" applyFont="1" applyFill="1" applyBorder="1" applyAlignment="1" applyProtection="1">
      <alignment horizontal="right"/>
      <protection locked="0"/>
    </xf>
    <xf numFmtId="178" fontId="3" fillId="0" borderId="26" xfId="0" applyNumberFormat="1" applyFont="1" applyBorder="1" applyAlignment="1">
      <alignment horizontal="right"/>
    </xf>
    <xf numFmtId="175" fontId="3" fillId="0" borderId="2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82" fontId="0" fillId="0" borderId="2" xfId="0" applyNumberFormat="1" applyBorder="1"/>
    <xf numFmtId="166" fontId="0" fillId="0" borderId="2" xfId="0" applyNumberFormat="1" applyBorder="1"/>
    <xf numFmtId="164" fontId="3" fillId="0" borderId="2" xfId="0" applyNumberFormat="1" applyFont="1" applyBorder="1"/>
    <xf numFmtId="9" fontId="0" fillId="8" borderId="24" xfId="0" applyNumberFormat="1" applyFill="1" applyBorder="1"/>
    <xf numFmtId="0" fontId="1" fillId="11" borderId="3" xfId="0" applyFont="1" applyFill="1" applyBorder="1"/>
    <xf numFmtId="3" fontId="0" fillId="11" borderId="4" xfId="0" applyNumberFormat="1" applyFill="1" applyBorder="1"/>
    <xf numFmtId="171" fontId="0" fillId="11" borderId="8" xfId="0" applyNumberFormat="1" applyFill="1" applyBorder="1"/>
    <xf numFmtId="172" fontId="0" fillId="11" borderId="8" xfId="0" applyNumberFormat="1" applyFill="1" applyBorder="1"/>
    <xf numFmtId="0" fontId="0" fillId="4" borderId="0" xfId="0" applyFill="1"/>
    <xf numFmtId="0" fontId="1" fillId="0" borderId="30" xfId="0" applyFont="1" applyBorder="1"/>
    <xf numFmtId="1" fontId="0" fillId="0" borderId="29" xfId="0" applyNumberFormat="1" applyBorder="1"/>
    <xf numFmtId="0" fontId="0" fillId="15" borderId="0" xfId="0" applyFill="1"/>
    <xf numFmtId="0" fontId="0" fillId="4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5" borderId="0" xfId="0" applyFill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60">
    <dxf>
      <font>
        <color rgb="FFFF0000"/>
      </font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FF3F9F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A162D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ont>
        <color theme="5"/>
      </font>
    </dxf>
    <dxf>
      <font>
        <color rgb="FFFFC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FFC000"/>
      </font>
    </dxf>
    <dxf>
      <fill>
        <patternFill>
          <bgColor rgb="FFFF3F9F"/>
        </patternFill>
      </fill>
    </dxf>
    <dxf>
      <fill>
        <patternFill>
          <bgColor rgb="FFA162D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ont>
        <color rgb="FFFF0000"/>
      </font>
    </dxf>
    <dxf>
      <fill>
        <patternFill>
          <bgColor rgb="FF69D8FF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A162D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ill>
        <patternFill>
          <bgColor rgb="FFEFC16D"/>
        </patternFill>
      </fill>
    </dxf>
    <dxf>
      <font>
        <color rgb="FFFF0000"/>
      </font>
    </dxf>
    <dxf>
      <fill>
        <patternFill>
          <bgColor rgb="FFFF9393"/>
        </patternFill>
      </fill>
    </dxf>
    <dxf>
      <font>
        <b/>
        <i val="0"/>
        <color rgb="FF008000"/>
      </font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E1F0FF"/>
      <color rgb="FFE1FFF5"/>
      <color rgb="FFFFFFAF"/>
      <color rgb="FFFFFF66"/>
      <color rgb="FF69D8FF"/>
      <color rgb="FFC2E49C"/>
      <color rgb="FFB2DE82"/>
      <color rgb="FFA162D0"/>
      <color rgb="FFFF3F9F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I80"/>
  <sheetViews>
    <sheetView showGridLines="0" tabSelected="1" zoomScaleNormal="100" zoomScaleSheetLayoutView="118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36.140625" customWidth="1"/>
    <col min="2" max="34" width="17.7109375" customWidth="1"/>
  </cols>
  <sheetData>
    <row r="1" spans="1:34" s="2" customFormat="1" ht="23.25" x14ac:dyDescent="0.35">
      <c r="A1" s="7" t="s">
        <v>132</v>
      </c>
      <c r="B1" s="2" t="s">
        <v>133</v>
      </c>
    </row>
    <row r="2" spans="1:34" s="2" customFormat="1" ht="23.25" x14ac:dyDescent="0.35">
      <c r="A2" s="7"/>
      <c r="B2" s="8" t="s">
        <v>190</v>
      </c>
    </row>
    <row r="3" spans="1:34" s="2" customFormat="1" ht="23.25" x14ac:dyDescent="0.35">
      <c r="A3" s="7"/>
      <c r="B3" s="52" t="s">
        <v>184</v>
      </c>
      <c r="C3"/>
      <c r="D3"/>
      <c r="E3"/>
      <c r="F3"/>
    </row>
    <row r="4" spans="1:34" ht="24.95" customHeight="1" x14ac:dyDescent="0.2">
      <c r="B4" s="96" t="s">
        <v>187</v>
      </c>
      <c r="C4" s="97"/>
      <c r="D4" s="97"/>
      <c r="E4" s="97"/>
      <c r="F4" s="97"/>
    </row>
    <row r="5" spans="1:34" x14ac:dyDescent="0.2">
      <c r="A5" s="138"/>
      <c r="B5" s="139"/>
      <c r="C5" s="12"/>
      <c r="D5" s="11"/>
      <c r="E5" s="11"/>
      <c r="F5" s="11"/>
      <c r="G5" s="11"/>
      <c r="H5" s="138" t="s">
        <v>27</v>
      </c>
      <c r="I5" s="11"/>
      <c r="J5" s="12"/>
    </row>
    <row r="6" spans="1:34" x14ac:dyDescent="0.2">
      <c r="A6" s="73" t="s">
        <v>37</v>
      </c>
      <c r="B6" s="129">
        <v>1.4</v>
      </c>
      <c r="C6" s="70" t="s">
        <v>83</v>
      </c>
      <c r="D6" s="9"/>
      <c r="E6" s="9"/>
      <c r="F6" s="9"/>
      <c r="G6" s="9"/>
      <c r="H6" s="20" t="s">
        <v>38</v>
      </c>
      <c r="I6" s="94">
        <v>0.31</v>
      </c>
      <c r="J6" s="19" t="s">
        <v>31</v>
      </c>
    </row>
    <row r="7" spans="1:34" x14ac:dyDescent="0.2">
      <c r="A7" s="73" t="s">
        <v>17</v>
      </c>
      <c r="B7" s="129">
        <v>12</v>
      </c>
      <c r="C7" s="70" t="s">
        <v>19</v>
      </c>
      <c r="D7" s="9"/>
      <c r="E7" s="9"/>
      <c r="F7" s="9"/>
      <c r="G7" s="9"/>
      <c r="H7" s="20" t="s">
        <v>28</v>
      </c>
      <c r="I7" s="94">
        <v>0.24</v>
      </c>
      <c r="J7" s="19" t="s">
        <v>31</v>
      </c>
      <c r="K7" s="6"/>
      <c r="L7" s="5"/>
      <c r="M7" s="4"/>
      <c r="N7" s="5"/>
      <c r="O7" s="4"/>
      <c r="P7" s="5"/>
      <c r="Q7" s="4"/>
      <c r="R7" s="4"/>
    </row>
    <row r="8" spans="1:34" x14ac:dyDescent="0.2">
      <c r="A8" s="17" t="s">
        <v>21</v>
      </c>
      <c r="B8" s="19">
        <v>100</v>
      </c>
      <c r="C8" s="70" t="s">
        <v>23</v>
      </c>
      <c r="D8" s="9"/>
      <c r="E8" s="9"/>
      <c r="F8" s="9"/>
      <c r="G8" s="9"/>
      <c r="H8" s="20" t="s">
        <v>29</v>
      </c>
      <c r="I8" s="94">
        <v>0.02</v>
      </c>
      <c r="J8" s="19" t="s">
        <v>31</v>
      </c>
      <c r="K8" s="4"/>
      <c r="L8" s="5"/>
      <c r="M8" s="4"/>
      <c r="N8" s="5"/>
      <c r="O8" s="4"/>
      <c r="P8" s="4"/>
      <c r="AG8" s="82"/>
      <c r="AH8" s="82"/>
    </row>
    <row r="9" spans="1:34" x14ac:dyDescent="0.2">
      <c r="A9" s="17" t="s">
        <v>22</v>
      </c>
      <c r="B9" s="19">
        <v>400</v>
      </c>
      <c r="C9" s="70" t="s">
        <v>24</v>
      </c>
      <c r="D9" s="9"/>
      <c r="E9" s="9"/>
      <c r="F9" s="9"/>
      <c r="G9" s="9"/>
      <c r="H9" s="20" t="s">
        <v>30</v>
      </c>
      <c r="I9" s="94">
        <v>4.1000000000000002E-2</v>
      </c>
      <c r="J9" s="19" t="s">
        <v>31</v>
      </c>
      <c r="K9" s="4"/>
      <c r="L9" s="5"/>
      <c r="M9" s="4"/>
      <c r="N9" s="5"/>
      <c r="O9" s="4"/>
      <c r="P9" s="4"/>
      <c r="AG9" s="82"/>
      <c r="AH9" s="82"/>
    </row>
    <row r="10" spans="1:34" x14ac:dyDescent="0.2">
      <c r="A10" s="73" t="s">
        <v>18</v>
      </c>
      <c r="B10" s="129">
        <v>40</v>
      </c>
      <c r="C10" s="70" t="s">
        <v>19</v>
      </c>
      <c r="D10" s="9"/>
      <c r="E10" s="9"/>
      <c r="F10" s="9"/>
      <c r="G10" s="9"/>
      <c r="H10" s="20" t="s">
        <v>20</v>
      </c>
      <c r="I10" s="94">
        <v>0.56000000000000005</v>
      </c>
      <c r="J10" s="19" t="s">
        <v>31</v>
      </c>
      <c r="K10" s="6"/>
      <c r="L10" s="5"/>
      <c r="M10" s="4"/>
      <c r="N10" s="5"/>
      <c r="O10" s="4"/>
      <c r="P10" s="5"/>
      <c r="Q10" s="4"/>
      <c r="R10" s="4"/>
    </row>
    <row r="11" spans="1:34" x14ac:dyDescent="0.2">
      <c r="A11" s="73" t="s">
        <v>107</v>
      </c>
      <c r="B11" s="129">
        <v>1000</v>
      </c>
      <c r="C11" s="69" t="s">
        <v>108</v>
      </c>
      <c r="D11" s="9"/>
      <c r="E11" s="9"/>
      <c r="F11" s="9"/>
      <c r="G11" s="9"/>
      <c r="H11" s="13"/>
      <c r="I11" s="95"/>
      <c r="J11" s="14"/>
      <c r="K11" s="6"/>
      <c r="L11" s="5"/>
      <c r="M11" s="4"/>
      <c r="N11" s="5"/>
      <c r="O11" s="4"/>
      <c r="P11" s="5"/>
      <c r="Q11" s="4"/>
      <c r="R11" s="4"/>
    </row>
    <row r="12" spans="1:34" x14ac:dyDescent="0.2">
      <c r="A12" s="73" t="s">
        <v>66</v>
      </c>
      <c r="B12" s="129">
        <v>0.5</v>
      </c>
      <c r="C12" s="69" t="s">
        <v>87</v>
      </c>
      <c r="D12" s="9"/>
      <c r="E12" s="9"/>
      <c r="F12" s="9"/>
      <c r="G12" s="9"/>
      <c r="H12" s="13"/>
      <c r="I12" s="95"/>
      <c r="J12" s="14"/>
      <c r="K12" s="6"/>
      <c r="L12" s="5"/>
      <c r="M12" s="4"/>
      <c r="N12" s="5"/>
      <c r="O12" s="4"/>
      <c r="P12" s="5"/>
      <c r="Q12" s="4"/>
      <c r="R12" s="4"/>
    </row>
    <row r="13" spans="1:34" x14ac:dyDescent="0.2">
      <c r="A13" s="111"/>
      <c r="B13" s="140"/>
      <c r="C13" s="16"/>
      <c r="D13" s="15"/>
      <c r="E13" s="15"/>
      <c r="F13" s="15"/>
      <c r="G13" s="15"/>
      <c r="H13" s="109"/>
      <c r="I13" s="141"/>
      <c r="J13" s="16"/>
      <c r="K13" s="6"/>
      <c r="L13" s="5"/>
      <c r="M13" s="4"/>
      <c r="N13" s="5"/>
      <c r="O13" s="4"/>
      <c r="P13" s="5"/>
      <c r="Q13" s="4"/>
      <c r="R13" s="5"/>
      <c r="S13" s="4"/>
      <c r="T13" s="4"/>
    </row>
    <row r="14" spans="1:34" x14ac:dyDescent="0.2">
      <c r="A14" s="1"/>
      <c r="K14" s="3"/>
      <c r="L14" s="6"/>
      <c r="M14" s="6"/>
      <c r="N14" s="5"/>
      <c r="O14" s="4"/>
      <c r="P14" s="5"/>
      <c r="Q14" s="4"/>
      <c r="R14" s="4"/>
    </row>
    <row r="15" spans="1:34" s="1" customFormat="1" x14ac:dyDescent="0.2">
      <c r="A15"/>
      <c r="B15" s="3"/>
      <c r="C15" s="3"/>
      <c r="D15" s="6"/>
      <c r="E15" s="6"/>
      <c r="F15" s="3"/>
      <c r="G15" s="3"/>
      <c r="H15" s="3"/>
      <c r="I15" s="3"/>
      <c r="J15" s="6"/>
      <c r="K15" s="6"/>
      <c r="L15" s="5"/>
      <c r="M15" s="4"/>
    </row>
    <row r="16" spans="1:34" s="1" customFormat="1" x14ac:dyDescent="0.2">
      <c r="A16" s="24" t="s">
        <v>0</v>
      </c>
      <c r="B16" s="25" t="s">
        <v>33</v>
      </c>
      <c r="C16" s="25" t="s">
        <v>164</v>
      </c>
      <c r="D16" s="25" t="s">
        <v>165</v>
      </c>
      <c r="E16" s="25" t="s">
        <v>175</v>
      </c>
      <c r="F16" s="25" t="s">
        <v>177</v>
      </c>
      <c r="G16" s="25" t="s">
        <v>176</v>
      </c>
      <c r="H16" s="25" t="s">
        <v>178</v>
      </c>
      <c r="I16" s="26" t="s">
        <v>33</v>
      </c>
      <c r="J16" s="25" t="s">
        <v>164</v>
      </c>
      <c r="K16" s="25" t="s">
        <v>165</v>
      </c>
      <c r="L16" s="25" t="s">
        <v>175</v>
      </c>
      <c r="M16" s="25" t="s">
        <v>177</v>
      </c>
      <c r="N16" s="25" t="s">
        <v>176</v>
      </c>
      <c r="O16" s="25" t="s">
        <v>178</v>
      </c>
      <c r="P16" s="26" t="s">
        <v>33</v>
      </c>
      <c r="Q16" s="25" t="s">
        <v>139</v>
      </c>
      <c r="R16" s="25" t="s">
        <v>140</v>
      </c>
      <c r="S16" s="25" t="s">
        <v>143</v>
      </c>
      <c r="T16" s="25" t="s">
        <v>144</v>
      </c>
      <c r="U16" s="25" t="s">
        <v>179</v>
      </c>
      <c r="V16" s="25" t="s">
        <v>149</v>
      </c>
    </row>
    <row r="17" spans="1:61" s="1" customFormat="1" x14ac:dyDescent="0.2">
      <c r="A17" s="21"/>
      <c r="B17" s="21" t="s">
        <v>180</v>
      </c>
      <c r="C17" s="21" t="s">
        <v>135</v>
      </c>
      <c r="D17" s="21" t="s">
        <v>137</v>
      </c>
      <c r="E17" s="21" t="s">
        <v>90</v>
      </c>
      <c r="F17" s="21" t="s">
        <v>90</v>
      </c>
      <c r="G17" s="21" t="s">
        <v>90</v>
      </c>
      <c r="H17" s="21" t="s">
        <v>90</v>
      </c>
      <c r="I17" s="21" t="s">
        <v>181</v>
      </c>
      <c r="J17" s="21" t="s">
        <v>135</v>
      </c>
      <c r="K17" s="21" t="s">
        <v>137</v>
      </c>
      <c r="L17" s="21" t="s">
        <v>90</v>
      </c>
      <c r="M17" s="21" t="s">
        <v>90</v>
      </c>
      <c r="N17" s="21" t="s">
        <v>90</v>
      </c>
      <c r="O17" s="21" t="s">
        <v>90</v>
      </c>
      <c r="P17" s="21" t="s">
        <v>182</v>
      </c>
      <c r="Q17" s="21" t="s">
        <v>134</v>
      </c>
      <c r="R17" s="21" t="s">
        <v>136</v>
      </c>
      <c r="S17" s="21" t="s">
        <v>90</v>
      </c>
      <c r="T17" s="21" t="s">
        <v>90</v>
      </c>
      <c r="U17" s="21" t="s">
        <v>90</v>
      </c>
      <c r="V17" s="21" t="s">
        <v>90</v>
      </c>
    </row>
    <row r="18" spans="1:61" s="1" customFormat="1" x14ac:dyDescent="0.2">
      <c r="A18" s="21"/>
      <c r="B18" s="21"/>
      <c r="C18" s="21"/>
      <c r="D18" s="21"/>
      <c r="E18" s="21" t="s">
        <v>91</v>
      </c>
      <c r="F18" s="21" t="s">
        <v>91</v>
      </c>
      <c r="G18" s="21" t="s">
        <v>91</v>
      </c>
      <c r="H18" s="21" t="s">
        <v>91</v>
      </c>
      <c r="I18" s="21"/>
      <c r="J18" s="21"/>
      <c r="K18" s="21"/>
      <c r="L18" s="21" t="s">
        <v>91</v>
      </c>
      <c r="M18" s="21" t="s">
        <v>91</v>
      </c>
      <c r="N18" s="21" t="s">
        <v>91</v>
      </c>
      <c r="O18" s="21" t="s">
        <v>91</v>
      </c>
      <c r="P18" s="21"/>
      <c r="Q18" s="21"/>
      <c r="R18" s="21"/>
      <c r="S18" s="21" t="s">
        <v>91</v>
      </c>
      <c r="T18" s="21" t="s">
        <v>91</v>
      </c>
      <c r="U18" s="21" t="s">
        <v>91</v>
      </c>
      <c r="V18" s="21" t="s">
        <v>91</v>
      </c>
    </row>
    <row r="19" spans="1:61" s="1" customFormat="1" x14ac:dyDescent="0.2">
      <c r="A19" s="21"/>
      <c r="B19" s="21"/>
      <c r="C19" s="21"/>
      <c r="D19" s="21"/>
      <c r="E19" s="21" t="s">
        <v>95</v>
      </c>
      <c r="F19" s="21" t="s">
        <v>95</v>
      </c>
      <c r="G19" s="21" t="s">
        <v>95</v>
      </c>
      <c r="H19" s="21" t="s">
        <v>95</v>
      </c>
      <c r="I19" s="21"/>
      <c r="J19" s="21"/>
      <c r="K19" s="21"/>
      <c r="L19" s="21" t="s">
        <v>95</v>
      </c>
      <c r="M19" s="21" t="s">
        <v>95</v>
      </c>
      <c r="N19" s="21" t="s">
        <v>95</v>
      </c>
      <c r="O19" s="21" t="s">
        <v>95</v>
      </c>
      <c r="P19" s="21"/>
      <c r="Q19" s="21"/>
      <c r="R19" s="21"/>
      <c r="S19" s="21" t="s">
        <v>92</v>
      </c>
      <c r="T19" s="21" t="s">
        <v>92</v>
      </c>
      <c r="U19" s="21" t="s">
        <v>95</v>
      </c>
      <c r="V19" s="21" t="s">
        <v>95</v>
      </c>
    </row>
    <row r="20" spans="1:61" s="1" customFormat="1" x14ac:dyDescent="0.2">
      <c r="A20" s="21"/>
      <c r="B20" s="21"/>
      <c r="C20" s="21"/>
      <c r="D20" s="21"/>
      <c r="E20" s="21" t="s">
        <v>93</v>
      </c>
      <c r="F20" s="21" t="s">
        <v>93</v>
      </c>
      <c r="G20" s="21" t="s">
        <v>93</v>
      </c>
      <c r="H20" s="21" t="s">
        <v>93</v>
      </c>
      <c r="I20" s="21"/>
      <c r="J20" s="21"/>
      <c r="K20" s="21"/>
      <c r="L20" s="21" t="s">
        <v>93</v>
      </c>
      <c r="M20" s="21" t="s">
        <v>93</v>
      </c>
      <c r="N20" s="21" t="s">
        <v>93</v>
      </c>
      <c r="O20" s="21" t="s">
        <v>93</v>
      </c>
      <c r="P20" s="21"/>
      <c r="Q20" s="21"/>
      <c r="R20" s="21"/>
      <c r="S20" s="21" t="s">
        <v>93</v>
      </c>
      <c r="T20" s="21" t="s">
        <v>93</v>
      </c>
      <c r="U20" s="21" t="s">
        <v>93</v>
      </c>
      <c r="V20" s="21" t="s">
        <v>93</v>
      </c>
    </row>
    <row r="21" spans="1:61" s="1" customFormat="1" x14ac:dyDescent="0.2">
      <c r="A21" s="28"/>
      <c r="B21" s="28"/>
      <c r="C21" s="28"/>
      <c r="D21" s="28"/>
      <c r="E21" s="28" t="s">
        <v>146</v>
      </c>
      <c r="F21" s="28" t="s">
        <v>147</v>
      </c>
      <c r="G21" s="28" t="s">
        <v>146</v>
      </c>
      <c r="H21" s="28" t="s">
        <v>147</v>
      </c>
      <c r="I21" s="28"/>
      <c r="J21" s="28"/>
      <c r="K21" s="28"/>
      <c r="L21" s="28" t="s">
        <v>146</v>
      </c>
      <c r="M21" s="28" t="s">
        <v>147</v>
      </c>
      <c r="N21" s="28" t="s">
        <v>146</v>
      </c>
      <c r="O21" s="28" t="s">
        <v>147</v>
      </c>
      <c r="P21" s="28"/>
      <c r="Q21" s="28"/>
      <c r="R21" s="28"/>
      <c r="S21" s="28" t="s">
        <v>141</v>
      </c>
      <c r="T21" s="28" t="s">
        <v>145</v>
      </c>
      <c r="U21" s="28" t="s">
        <v>141</v>
      </c>
      <c r="V21" s="28" t="s">
        <v>145</v>
      </c>
    </row>
    <row r="22" spans="1:61" s="1" customForma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</row>
    <row r="23" spans="1:61" s="1" customFormat="1" x14ac:dyDescent="0.2">
      <c r="A23" s="73" t="s">
        <v>50</v>
      </c>
      <c r="B23" s="121">
        <v>2500</v>
      </c>
      <c r="C23" s="121"/>
      <c r="D23" s="121"/>
      <c r="E23" s="121"/>
      <c r="F23" s="121"/>
      <c r="G23" s="121"/>
      <c r="H23" s="121"/>
      <c r="I23" s="122"/>
      <c r="J23" s="121"/>
      <c r="K23" s="121"/>
      <c r="L23" s="121"/>
      <c r="M23" s="121"/>
      <c r="N23" s="121"/>
      <c r="O23" s="121"/>
      <c r="P23" s="122"/>
      <c r="Q23" s="121"/>
      <c r="R23" s="121"/>
      <c r="S23" s="121"/>
      <c r="T23" s="121"/>
      <c r="U23" s="121"/>
      <c r="V23" s="121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</row>
    <row r="24" spans="1:61" s="1" customFormat="1" x14ac:dyDescent="0.2">
      <c r="A24" s="73" t="s">
        <v>67</v>
      </c>
      <c r="B24" s="123"/>
      <c r="C24" s="123"/>
      <c r="D24" s="123"/>
      <c r="E24" s="123"/>
      <c r="F24" s="123"/>
      <c r="G24" s="123"/>
      <c r="H24" s="123"/>
      <c r="I24" s="124">
        <v>15000</v>
      </c>
      <c r="J24" s="123"/>
      <c r="K24" s="123"/>
      <c r="L24" s="123"/>
      <c r="M24" s="123"/>
      <c r="N24" s="123"/>
      <c r="O24" s="123"/>
      <c r="P24" s="124">
        <v>5500</v>
      </c>
      <c r="Q24" s="123"/>
      <c r="R24" s="123"/>
      <c r="S24" s="123"/>
      <c r="T24" s="123"/>
      <c r="U24" s="123"/>
      <c r="V24" s="12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</row>
    <row r="25" spans="1:61" s="1" customFormat="1" x14ac:dyDescent="0.2">
      <c r="A25" s="73" t="s">
        <v>192</v>
      </c>
      <c r="B25" s="125">
        <v>120</v>
      </c>
      <c r="C25" s="125">
        <v>120</v>
      </c>
      <c r="D25" s="125">
        <v>120</v>
      </c>
      <c r="E25" s="125">
        <v>120</v>
      </c>
      <c r="F25" s="125">
        <v>120</v>
      </c>
      <c r="G25" s="125">
        <v>120</v>
      </c>
      <c r="H25" s="125">
        <v>120</v>
      </c>
      <c r="I25" s="125">
        <v>140</v>
      </c>
      <c r="J25" s="125">
        <v>140</v>
      </c>
      <c r="K25" s="125">
        <v>140</v>
      </c>
      <c r="L25" s="125">
        <v>140</v>
      </c>
      <c r="M25" s="125">
        <v>140</v>
      </c>
      <c r="N25" s="125">
        <v>140</v>
      </c>
      <c r="O25" s="125">
        <v>140</v>
      </c>
      <c r="P25" s="125">
        <v>120</v>
      </c>
      <c r="Q25" s="125">
        <v>120</v>
      </c>
      <c r="R25" s="125">
        <v>120</v>
      </c>
      <c r="S25" s="125">
        <v>120</v>
      </c>
      <c r="T25" s="125">
        <v>120</v>
      </c>
      <c r="U25" s="125">
        <v>120</v>
      </c>
      <c r="V25" s="125">
        <v>120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</row>
    <row r="26" spans="1:61" s="1" customFormat="1" x14ac:dyDescent="0.2">
      <c r="A26" s="73" t="s">
        <v>88</v>
      </c>
      <c r="B26" s="123"/>
      <c r="C26" s="125"/>
      <c r="D26" s="125"/>
      <c r="E26" s="125">
        <v>12</v>
      </c>
      <c r="F26" s="125">
        <v>12</v>
      </c>
      <c r="G26" s="125">
        <v>39</v>
      </c>
      <c r="H26" s="125">
        <v>39</v>
      </c>
      <c r="I26" s="122"/>
      <c r="J26" s="125"/>
      <c r="K26" s="125"/>
      <c r="L26" s="125">
        <v>12</v>
      </c>
      <c r="M26" s="125">
        <v>12</v>
      </c>
      <c r="N26" s="125">
        <v>39</v>
      </c>
      <c r="O26" s="125">
        <v>39</v>
      </c>
      <c r="P26" s="122"/>
      <c r="Q26" s="125"/>
      <c r="R26" s="125"/>
      <c r="S26" s="125">
        <v>6</v>
      </c>
      <c r="T26" s="125">
        <v>6</v>
      </c>
      <c r="U26" s="125">
        <v>12</v>
      </c>
      <c r="V26" s="125">
        <v>12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</row>
    <row r="27" spans="1:61" s="1" customFormat="1" x14ac:dyDescent="0.2">
      <c r="A27" s="73" t="s">
        <v>191</v>
      </c>
      <c r="B27" s="123"/>
      <c r="C27" s="126"/>
      <c r="D27" s="126"/>
      <c r="E27" s="126">
        <v>1.1000000000000001</v>
      </c>
      <c r="F27" s="126">
        <v>1.1000000000000001</v>
      </c>
      <c r="G27" s="126">
        <v>1.1000000000000001</v>
      </c>
      <c r="H27" s="126">
        <v>1.1000000000000001</v>
      </c>
      <c r="I27" s="122"/>
      <c r="J27" s="126"/>
      <c r="K27" s="126"/>
      <c r="L27" s="126">
        <v>1.1000000000000001</v>
      </c>
      <c r="M27" s="126">
        <v>1.1000000000000001</v>
      </c>
      <c r="N27" s="126">
        <v>1.1000000000000001</v>
      </c>
      <c r="O27" s="126">
        <v>1.1000000000000001</v>
      </c>
      <c r="P27" s="122"/>
      <c r="Q27" s="126"/>
      <c r="R27" s="126"/>
      <c r="S27" s="126">
        <v>1.1000000000000001</v>
      </c>
      <c r="T27" s="126">
        <v>1.1000000000000001</v>
      </c>
      <c r="U27" s="126">
        <v>1.1000000000000001</v>
      </c>
      <c r="V27" s="126">
        <v>1.1000000000000001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</row>
    <row r="28" spans="1:61" s="1" customFormat="1" x14ac:dyDescent="0.2">
      <c r="A28" s="73" t="s">
        <v>89</v>
      </c>
      <c r="B28" s="123"/>
      <c r="C28" s="127"/>
      <c r="D28" s="127"/>
      <c r="E28" s="127"/>
      <c r="F28" s="127"/>
      <c r="G28" s="127">
        <v>35</v>
      </c>
      <c r="H28" s="127">
        <v>35</v>
      </c>
      <c r="I28" s="122"/>
      <c r="J28" s="127"/>
      <c r="K28" s="127"/>
      <c r="L28" s="127"/>
      <c r="M28" s="127"/>
      <c r="N28" s="127">
        <v>35</v>
      </c>
      <c r="O28" s="127">
        <v>35</v>
      </c>
      <c r="P28" s="122"/>
      <c r="Q28" s="127"/>
      <c r="R28" s="127"/>
      <c r="S28" s="127"/>
      <c r="T28" s="127"/>
      <c r="U28" s="127">
        <v>35</v>
      </c>
      <c r="V28" s="127">
        <v>35</v>
      </c>
    </row>
    <row r="29" spans="1:61" s="1" customFormat="1" x14ac:dyDescent="0.2">
      <c r="A29" s="22" t="s">
        <v>138</v>
      </c>
      <c r="B29" s="123"/>
      <c r="C29" s="126">
        <v>0.81</v>
      </c>
      <c r="D29" s="126">
        <v>0.84</v>
      </c>
      <c r="E29" s="126">
        <v>0.81</v>
      </c>
      <c r="F29" s="126">
        <v>0.84</v>
      </c>
      <c r="G29" s="126">
        <v>0.81</v>
      </c>
      <c r="H29" s="126">
        <v>0.84</v>
      </c>
      <c r="I29" s="126"/>
      <c r="J29" s="126">
        <v>0.81</v>
      </c>
      <c r="K29" s="126">
        <v>0.84</v>
      </c>
      <c r="L29" s="126">
        <v>0.81</v>
      </c>
      <c r="M29" s="126">
        <v>0.84</v>
      </c>
      <c r="N29" s="126">
        <v>0.81</v>
      </c>
      <c r="O29" s="126">
        <v>0.84</v>
      </c>
      <c r="P29" s="126"/>
      <c r="Q29" s="126">
        <v>0.79</v>
      </c>
      <c r="R29" s="126">
        <v>0.84</v>
      </c>
      <c r="S29" s="126">
        <v>0.79</v>
      </c>
      <c r="T29" s="126">
        <v>0.84</v>
      </c>
      <c r="U29" s="126">
        <v>0.79</v>
      </c>
      <c r="V29" s="126">
        <v>0.84</v>
      </c>
    </row>
    <row r="30" spans="1:61" s="1" customFormat="1" x14ac:dyDescent="0.2">
      <c r="A30" s="22"/>
      <c r="B30" s="123"/>
      <c r="C30" s="127"/>
      <c r="D30" s="127"/>
      <c r="E30" s="127"/>
      <c r="F30" s="127"/>
      <c r="G30" s="127"/>
      <c r="H30" s="127"/>
      <c r="I30" s="122"/>
      <c r="J30" s="127"/>
      <c r="K30" s="127"/>
      <c r="L30" s="127"/>
      <c r="M30" s="127"/>
      <c r="N30" s="127"/>
      <c r="O30" s="127"/>
      <c r="P30" s="122"/>
      <c r="Q30" s="127"/>
      <c r="R30" s="127"/>
      <c r="S30" s="127"/>
      <c r="T30" s="127"/>
      <c r="U30" s="127"/>
      <c r="V30" s="127"/>
    </row>
    <row r="31" spans="1:61" s="1" customFormat="1" x14ac:dyDescent="0.2">
      <c r="A31" s="73" t="s">
        <v>5</v>
      </c>
      <c r="B31" s="88"/>
      <c r="C31" s="88">
        <v>14000</v>
      </c>
      <c r="D31" s="88">
        <v>26000</v>
      </c>
      <c r="E31" s="88">
        <v>14000</v>
      </c>
      <c r="F31" s="88">
        <v>26000</v>
      </c>
      <c r="G31" s="88">
        <v>14000</v>
      </c>
      <c r="H31" s="88">
        <v>26000</v>
      </c>
      <c r="I31" s="88"/>
      <c r="J31" s="88">
        <v>14000</v>
      </c>
      <c r="K31" s="88">
        <v>26000</v>
      </c>
      <c r="L31" s="88">
        <v>14000</v>
      </c>
      <c r="M31" s="88">
        <v>26000</v>
      </c>
      <c r="N31" s="88">
        <v>14000</v>
      </c>
      <c r="O31" s="88">
        <v>26000</v>
      </c>
      <c r="P31" s="88"/>
      <c r="Q31" s="88">
        <v>4000</v>
      </c>
      <c r="R31" s="88">
        <v>6000</v>
      </c>
      <c r="S31" s="88">
        <v>4000</v>
      </c>
      <c r="T31" s="88">
        <v>6000</v>
      </c>
      <c r="U31" s="88">
        <v>4000</v>
      </c>
      <c r="V31" s="88">
        <v>6000</v>
      </c>
    </row>
    <row r="32" spans="1:61" s="1" customFormat="1" x14ac:dyDescent="0.2">
      <c r="A32" s="73" t="s">
        <v>36</v>
      </c>
      <c r="B32" s="88"/>
      <c r="C32" s="88">
        <v>-9330</v>
      </c>
      <c r="D32" s="88">
        <v>-9330</v>
      </c>
      <c r="E32" s="88">
        <v>-9330</v>
      </c>
      <c r="F32" s="88">
        <v>-9330</v>
      </c>
      <c r="G32" s="88">
        <v>-9330</v>
      </c>
      <c r="H32" s="88">
        <v>-9330</v>
      </c>
      <c r="I32" s="88"/>
      <c r="J32" s="88">
        <v>-8000</v>
      </c>
      <c r="K32" s="88">
        <v>-8000</v>
      </c>
      <c r="L32" s="88">
        <v>-8000</v>
      </c>
      <c r="M32" s="88">
        <v>-8000</v>
      </c>
      <c r="N32" s="88">
        <v>-8000</v>
      </c>
      <c r="O32" s="88">
        <v>-8000</v>
      </c>
      <c r="P32" s="88"/>
      <c r="Q32" s="88">
        <v>-6000</v>
      </c>
      <c r="R32" s="88">
        <v>-6000</v>
      </c>
      <c r="S32" s="88">
        <v>-6000</v>
      </c>
      <c r="T32" s="88">
        <v>-6000</v>
      </c>
      <c r="U32" s="88">
        <v>-6000</v>
      </c>
      <c r="V32" s="88">
        <v>-6000</v>
      </c>
    </row>
    <row r="33" spans="1:22" s="1" customFormat="1" x14ac:dyDescent="0.2">
      <c r="A33" s="73" t="s">
        <v>34</v>
      </c>
      <c r="B33" s="88"/>
      <c r="C33" s="88">
        <v>1000</v>
      </c>
      <c r="D33" s="88">
        <v>2000</v>
      </c>
      <c r="E33" s="88">
        <v>1000</v>
      </c>
      <c r="F33" s="88">
        <v>2000</v>
      </c>
      <c r="G33" s="88">
        <v>1000</v>
      </c>
      <c r="H33" s="88">
        <v>2000</v>
      </c>
      <c r="I33" s="88"/>
      <c r="J33" s="88">
        <v>1000</v>
      </c>
      <c r="K33" s="88">
        <v>2000</v>
      </c>
      <c r="L33" s="88">
        <v>1000</v>
      </c>
      <c r="M33" s="88">
        <v>2000</v>
      </c>
      <c r="N33" s="88">
        <v>1000</v>
      </c>
      <c r="O33" s="88">
        <v>2000</v>
      </c>
      <c r="P33" s="88"/>
      <c r="Q33" s="88">
        <v>1000</v>
      </c>
      <c r="R33" s="88">
        <v>2000</v>
      </c>
      <c r="S33" s="88">
        <v>1000</v>
      </c>
      <c r="T33" s="88">
        <v>2000</v>
      </c>
      <c r="U33" s="88">
        <v>1000</v>
      </c>
      <c r="V33" s="88">
        <v>2000</v>
      </c>
    </row>
    <row r="34" spans="1:22" s="1" customFormat="1" x14ac:dyDescent="0.2">
      <c r="A34" s="73" t="s">
        <v>35</v>
      </c>
      <c r="B34" s="88"/>
      <c r="C34" s="88">
        <v>2000</v>
      </c>
      <c r="D34" s="88">
        <v>2000</v>
      </c>
      <c r="E34" s="88"/>
      <c r="F34" s="88"/>
      <c r="G34" s="88"/>
      <c r="H34" s="88"/>
      <c r="I34" s="88"/>
      <c r="J34" s="88">
        <v>2000</v>
      </c>
      <c r="K34" s="88">
        <v>2000</v>
      </c>
      <c r="L34" s="88"/>
      <c r="M34" s="88"/>
      <c r="N34" s="88"/>
      <c r="O34" s="88"/>
      <c r="P34" s="88"/>
      <c r="Q34" s="88">
        <v>2000</v>
      </c>
      <c r="R34" s="88">
        <v>2000</v>
      </c>
      <c r="S34" s="88"/>
      <c r="T34" s="88"/>
      <c r="U34" s="88"/>
      <c r="V34" s="88"/>
    </row>
    <row r="35" spans="1:22" s="1" customFormat="1" x14ac:dyDescent="0.2">
      <c r="A35" s="73" t="s">
        <v>4</v>
      </c>
      <c r="B35" s="88"/>
      <c r="C35" s="88"/>
      <c r="D35" s="88"/>
      <c r="E35" s="88">
        <v>13000</v>
      </c>
      <c r="F35" s="88">
        <v>13000</v>
      </c>
      <c r="G35" s="88">
        <v>25000</v>
      </c>
      <c r="H35" s="88">
        <v>25000</v>
      </c>
      <c r="I35" s="88"/>
      <c r="J35" s="88"/>
      <c r="K35" s="88"/>
      <c r="L35" s="88">
        <v>13000</v>
      </c>
      <c r="M35" s="88">
        <v>13000</v>
      </c>
      <c r="N35" s="88">
        <v>25000</v>
      </c>
      <c r="O35" s="88">
        <v>25000</v>
      </c>
      <c r="P35" s="88"/>
      <c r="Q35" s="88"/>
      <c r="R35" s="88"/>
      <c r="S35" s="88">
        <v>8000</v>
      </c>
      <c r="T35" s="88">
        <v>8000</v>
      </c>
      <c r="U35" s="88">
        <v>13000</v>
      </c>
      <c r="V35" s="88">
        <v>13000</v>
      </c>
    </row>
    <row r="36" spans="1:22" s="1" customFormat="1" x14ac:dyDescent="0.2">
      <c r="A36" s="73" t="s">
        <v>9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</row>
    <row r="37" spans="1:22" s="1" customFormat="1" x14ac:dyDescent="0.2">
      <c r="A37" s="73" t="s">
        <v>6</v>
      </c>
      <c r="B37" s="88"/>
      <c r="C37" s="88">
        <v>1000</v>
      </c>
      <c r="D37" s="88">
        <v>1000</v>
      </c>
      <c r="E37" s="88">
        <v>1000</v>
      </c>
      <c r="F37" s="88">
        <v>1000</v>
      </c>
      <c r="G37" s="88">
        <v>1000</v>
      </c>
      <c r="H37" s="88">
        <v>1000</v>
      </c>
      <c r="I37" s="88"/>
      <c r="J37" s="88">
        <v>1000</v>
      </c>
      <c r="K37" s="88">
        <v>1000</v>
      </c>
      <c r="L37" s="88">
        <v>1000</v>
      </c>
      <c r="M37" s="88">
        <v>1000</v>
      </c>
      <c r="N37" s="88">
        <v>1000</v>
      </c>
      <c r="O37" s="88">
        <v>1000</v>
      </c>
      <c r="P37" s="88"/>
      <c r="Q37" s="88">
        <v>1000</v>
      </c>
      <c r="R37" s="88">
        <v>1000</v>
      </c>
      <c r="S37" s="88">
        <v>1000</v>
      </c>
      <c r="T37" s="88">
        <v>1000</v>
      </c>
      <c r="U37" s="88">
        <v>1000</v>
      </c>
      <c r="V37" s="88">
        <v>1000</v>
      </c>
    </row>
    <row r="38" spans="1:22" s="1" customFormat="1" x14ac:dyDescent="0.2">
      <c r="A38" s="73" t="s">
        <v>7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</row>
    <row r="39" spans="1:22" s="1" customFormat="1" x14ac:dyDescent="0.2">
      <c r="A39" s="73" t="s">
        <v>8</v>
      </c>
      <c r="B39" s="88"/>
      <c r="C39" s="88"/>
      <c r="D39" s="88"/>
      <c r="E39" s="88">
        <v>0</v>
      </c>
      <c r="F39" s="88">
        <v>0</v>
      </c>
      <c r="G39" s="88">
        <v>0</v>
      </c>
      <c r="H39" s="88">
        <v>0</v>
      </c>
      <c r="I39" s="88"/>
      <c r="J39" s="88"/>
      <c r="K39" s="88"/>
      <c r="L39" s="88">
        <v>0</v>
      </c>
      <c r="M39" s="88">
        <v>0</v>
      </c>
      <c r="N39" s="88">
        <v>0</v>
      </c>
      <c r="O39" s="88">
        <v>0</v>
      </c>
      <c r="P39" s="88"/>
      <c r="Q39" s="88"/>
      <c r="R39" s="88"/>
      <c r="S39" s="88">
        <v>0</v>
      </c>
      <c r="T39" s="88">
        <v>0</v>
      </c>
      <c r="U39" s="88">
        <v>0</v>
      </c>
      <c r="V39" s="88">
        <v>0</v>
      </c>
    </row>
    <row r="40" spans="1:22" x14ac:dyDescent="0.2">
      <c r="A40" s="89" t="s">
        <v>10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</row>
    <row r="41" spans="1:22" x14ac:dyDescent="0.2">
      <c r="A41" s="29" t="s">
        <v>1</v>
      </c>
      <c r="B41" s="30">
        <f>SUM(B31:B40)</f>
        <v>0</v>
      </c>
      <c r="C41" s="30">
        <f>SUM(C31:C40)</f>
        <v>8670</v>
      </c>
      <c r="D41" s="30">
        <f t="shared" ref="D41" si="0">SUM(D31:D40)</f>
        <v>21670</v>
      </c>
      <c r="E41" s="30">
        <f t="shared" ref="E41:H41" si="1">SUM(E31:E40)</f>
        <v>19670</v>
      </c>
      <c r="F41" s="30">
        <f t="shared" si="1"/>
        <v>32670</v>
      </c>
      <c r="G41" s="30">
        <f t="shared" si="1"/>
        <v>31670</v>
      </c>
      <c r="H41" s="30">
        <f t="shared" si="1"/>
        <v>44670</v>
      </c>
      <c r="I41" s="30">
        <v>0</v>
      </c>
      <c r="J41" s="30">
        <f>SUM(J31:J40)</f>
        <v>10000</v>
      </c>
      <c r="K41" s="30">
        <f t="shared" ref="K41:O41" si="2">SUM(K31:K40)</f>
        <v>23000</v>
      </c>
      <c r="L41" s="30">
        <f t="shared" si="2"/>
        <v>21000</v>
      </c>
      <c r="M41" s="30">
        <f t="shared" si="2"/>
        <v>34000</v>
      </c>
      <c r="N41" s="30">
        <f t="shared" si="2"/>
        <v>33000</v>
      </c>
      <c r="O41" s="30">
        <f t="shared" si="2"/>
        <v>46000</v>
      </c>
      <c r="P41" s="30">
        <f t="shared" ref="P41" si="3">SUM(P31:P40)</f>
        <v>0</v>
      </c>
      <c r="Q41" s="30">
        <f>SUM(Q31:Q40)</f>
        <v>2000</v>
      </c>
      <c r="R41" s="30">
        <f t="shared" ref="R41:V41" si="4">SUM(R31:R40)</f>
        <v>5000</v>
      </c>
      <c r="S41" s="30">
        <f t="shared" si="4"/>
        <v>8000</v>
      </c>
      <c r="T41" s="30">
        <f t="shared" si="4"/>
        <v>11000</v>
      </c>
      <c r="U41" s="30">
        <f t="shared" si="4"/>
        <v>13000</v>
      </c>
      <c r="V41" s="30">
        <f t="shared" si="4"/>
        <v>16000</v>
      </c>
    </row>
    <row r="42" spans="1:22" x14ac:dyDescent="0.2">
      <c r="A42" s="24" t="s">
        <v>58</v>
      </c>
      <c r="B42" s="93"/>
      <c r="C42" s="93">
        <f>C41-C32</f>
        <v>18000</v>
      </c>
      <c r="D42" s="93">
        <f>D41-D32</f>
        <v>31000</v>
      </c>
      <c r="E42" s="93">
        <f>E41-E32</f>
        <v>29000</v>
      </c>
      <c r="F42" s="93">
        <v>30000</v>
      </c>
      <c r="G42" s="93">
        <v>30000</v>
      </c>
      <c r="H42" s="93">
        <v>30000</v>
      </c>
      <c r="I42" s="93"/>
      <c r="J42" s="93">
        <f>J41-J32</f>
        <v>18000</v>
      </c>
      <c r="K42" s="93">
        <v>30000</v>
      </c>
      <c r="L42" s="93">
        <f>L41-L32</f>
        <v>29000</v>
      </c>
      <c r="M42" s="93">
        <v>30000</v>
      </c>
      <c r="N42" s="93">
        <v>30000</v>
      </c>
      <c r="O42" s="93">
        <v>30000</v>
      </c>
      <c r="P42" s="93"/>
      <c r="Q42" s="93">
        <v>0</v>
      </c>
      <c r="R42" s="93">
        <v>0</v>
      </c>
      <c r="S42" s="93">
        <v>0</v>
      </c>
      <c r="T42" s="93">
        <v>0</v>
      </c>
      <c r="U42" s="93">
        <v>0</v>
      </c>
      <c r="V42" s="93">
        <v>0</v>
      </c>
    </row>
    <row r="43" spans="1:22" x14ac:dyDescent="0.2">
      <c r="A43" s="24" t="s">
        <v>59</v>
      </c>
      <c r="B43" s="93"/>
      <c r="C43" s="93">
        <f>C42*0.6</f>
        <v>10800</v>
      </c>
      <c r="D43" s="93">
        <f>18000</f>
        <v>18000</v>
      </c>
      <c r="E43" s="93">
        <v>20300</v>
      </c>
      <c r="F43" s="93">
        <v>21000</v>
      </c>
      <c r="G43" s="93">
        <v>21000</v>
      </c>
      <c r="H43" s="93">
        <v>21000</v>
      </c>
      <c r="I43" s="93"/>
      <c r="J43" s="93">
        <f>0.6*J42</f>
        <v>10800</v>
      </c>
      <c r="K43" s="93">
        <v>18000</v>
      </c>
      <c r="L43" s="93">
        <v>20300</v>
      </c>
      <c r="M43" s="93">
        <v>21000</v>
      </c>
      <c r="N43" s="93">
        <v>21000</v>
      </c>
      <c r="O43" s="93">
        <v>21000</v>
      </c>
      <c r="P43" s="93"/>
      <c r="Q43" s="93">
        <v>0</v>
      </c>
      <c r="R43" s="93">
        <v>0</v>
      </c>
      <c r="S43" s="93">
        <v>0</v>
      </c>
      <c r="T43" s="93">
        <v>0</v>
      </c>
      <c r="U43" s="93">
        <v>0</v>
      </c>
      <c r="V43" s="93">
        <v>0</v>
      </c>
    </row>
    <row r="44" spans="1:22" x14ac:dyDescent="0.2">
      <c r="A44" s="24" t="s">
        <v>60</v>
      </c>
      <c r="B44" s="93"/>
      <c r="C44" s="93">
        <v>0</v>
      </c>
      <c r="D44" s="93">
        <v>0</v>
      </c>
      <c r="E44" s="93">
        <f t="shared" ref="E44:F44" si="5">IF( E26&lt;=2,2400*E26,0)</f>
        <v>0</v>
      </c>
      <c r="F44" s="93">
        <f t="shared" si="5"/>
        <v>0</v>
      </c>
      <c r="G44" s="93">
        <v>0</v>
      </c>
      <c r="H44" s="93">
        <v>0</v>
      </c>
      <c r="I44" s="93"/>
      <c r="J44" s="93">
        <v>0</v>
      </c>
      <c r="K44" s="93">
        <v>0</v>
      </c>
      <c r="L44" s="93">
        <f t="shared" ref="L44:M44" si="6">IF( L26&lt;=2,2400*L26,0)</f>
        <v>0</v>
      </c>
      <c r="M44" s="93">
        <f t="shared" si="6"/>
        <v>0</v>
      </c>
      <c r="N44" s="93">
        <v>0</v>
      </c>
      <c r="O44" s="93">
        <v>0</v>
      </c>
      <c r="P44" s="93"/>
      <c r="Q44" s="93">
        <v>0</v>
      </c>
      <c r="R44" s="93">
        <v>0</v>
      </c>
      <c r="S44" s="93">
        <f t="shared" ref="S44:T44" si="7">IF( S26&lt;=2,2400*S26,0)</f>
        <v>0</v>
      </c>
      <c r="T44" s="93">
        <f t="shared" si="7"/>
        <v>0</v>
      </c>
      <c r="U44" s="93">
        <v>0</v>
      </c>
      <c r="V44" s="93">
        <v>0</v>
      </c>
    </row>
    <row r="45" spans="1:22" x14ac:dyDescent="0.2">
      <c r="A45" s="33" t="s">
        <v>3</v>
      </c>
      <c r="B45" s="31"/>
      <c r="C45" s="31">
        <f>C43</f>
        <v>10800</v>
      </c>
      <c r="D45" s="31">
        <f>D43</f>
        <v>18000</v>
      </c>
      <c r="E45" s="31">
        <f>E44+E43</f>
        <v>20300</v>
      </c>
      <c r="F45" s="31">
        <f>F44+F43</f>
        <v>21000</v>
      </c>
      <c r="G45" s="31">
        <f t="shared" ref="G45:H45" si="8">G44+G43</f>
        <v>21000</v>
      </c>
      <c r="H45" s="31">
        <f t="shared" si="8"/>
        <v>21000</v>
      </c>
      <c r="I45" s="31"/>
      <c r="J45" s="31">
        <f>J43</f>
        <v>10800</v>
      </c>
      <c r="K45" s="31">
        <f>K43</f>
        <v>18000</v>
      </c>
      <c r="L45" s="31">
        <f>L44+L43</f>
        <v>20300</v>
      </c>
      <c r="M45" s="31">
        <f>M44+M43</f>
        <v>21000</v>
      </c>
      <c r="N45" s="31">
        <f t="shared" ref="N45" si="9">N44+N43</f>
        <v>21000</v>
      </c>
      <c r="O45" s="31">
        <f t="shared" ref="O45" si="10">O44+O43</f>
        <v>21000</v>
      </c>
      <c r="P45" s="31"/>
      <c r="Q45" s="31">
        <f t="shared" ref="Q45:R45" si="11">Q42+Q43+Q44</f>
        <v>0</v>
      </c>
      <c r="R45" s="31">
        <f t="shared" si="11"/>
        <v>0</v>
      </c>
      <c r="S45" s="31">
        <f>S44+S43</f>
        <v>0</v>
      </c>
      <c r="T45" s="31">
        <f>T44+T43</f>
        <v>0</v>
      </c>
      <c r="U45" s="31">
        <f t="shared" ref="U45" si="12">U44+U43</f>
        <v>0</v>
      </c>
      <c r="V45" s="31">
        <f t="shared" ref="V45" si="13">V44+V43</f>
        <v>0</v>
      </c>
    </row>
    <row r="46" spans="1:22" x14ac:dyDescent="0.2">
      <c r="A46" s="21" t="s">
        <v>11</v>
      </c>
      <c r="B46" s="23">
        <f t="shared" ref="B46" si="14">B41-B45</f>
        <v>0</v>
      </c>
      <c r="C46" s="23">
        <f>C41-C45</f>
        <v>-2130</v>
      </c>
      <c r="D46" s="23">
        <f>D41-D45</f>
        <v>3670</v>
      </c>
      <c r="E46" s="23">
        <f>E41-E45</f>
        <v>-630</v>
      </c>
      <c r="F46" s="23">
        <f>F41-F45</f>
        <v>11670</v>
      </c>
      <c r="G46" s="23">
        <f t="shared" ref="G46:H46" si="15">G41-G45</f>
        <v>10670</v>
      </c>
      <c r="H46" s="23">
        <f t="shared" si="15"/>
        <v>23670</v>
      </c>
      <c r="I46" s="23">
        <v>0</v>
      </c>
      <c r="J46" s="23">
        <f>J41-J45</f>
        <v>-800</v>
      </c>
      <c r="K46" s="23">
        <f>K41-K45</f>
        <v>5000</v>
      </c>
      <c r="L46" s="23">
        <f>L41-L45</f>
        <v>700</v>
      </c>
      <c r="M46" s="23">
        <f>M41-M45</f>
        <v>13000</v>
      </c>
      <c r="N46" s="23">
        <f t="shared" ref="N46" si="16">N41-N45</f>
        <v>12000</v>
      </c>
      <c r="O46" s="23">
        <f t="shared" ref="O46" si="17">O41-O45</f>
        <v>25000</v>
      </c>
      <c r="P46" s="23">
        <f t="shared" ref="P46" si="18">P41-P45</f>
        <v>0</v>
      </c>
      <c r="Q46" s="23">
        <f>Q41-Q45</f>
        <v>2000</v>
      </c>
      <c r="R46" s="23">
        <f>R41-R45</f>
        <v>5000</v>
      </c>
      <c r="S46" s="23">
        <f>S41-S45</f>
        <v>8000</v>
      </c>
      <c r="T46" s="23">
        <f>T41-T45</f>
        <v>11000</v>
      </c>
      <c r="U46" s="23">
        <f t="shared" ref="U46" si="19">U41-U45</f>
        <v>13000</v>
      </c>
      <c r="V46" s="23">
        <f t="shared" ref="V46" si="20">V41-V45</f>
        <v>16000</v>
      </c>
    </row>
    <row r="47" spans="1:22" x14ac:dyDescent="0.2">
      <c r="A47" s="29" t="s">
        <v>43</v>
      </c>
      <c r="B47" s="30">
        <v>0</v>
      </c>
      <c r="C47" s="30">
        <f>C46-$B$47</f>
        <v>-2130</v>
      </c>
      <c r="D47" s="30">
        <f>D46-$B$47</f>
        <v>3670</v>
      </c>
      <c r="E47" s="30">
        <f>E46-$B$47</f>
        <v>-630</v>
      </c>
      <c r="F47" s="30">
        <f>F46-$B$47</f>
        <v>11670</v>
      </c>
      <c r="G47" s="30">
        <f t="shared" ref="G47:H47" si="21">G46-$B$47</f>
        <v>10670</v>
      </c>
      <c r="H47" s="30">
        <f t="shared" si="21"/>
        <v>23670</v>
      </c>
      <c r="I47" s="30">
        <f>I46-$B$46</f>
        <v>0</v>
      </c>
      <c r="J47" s="30">
        <f>J46-$B$47</f>
        <v>-800</v>
      </c>
      <c r="K47" s="30">
        <f>K46-$B$47</f>
        <v>5000</v>
      </c>
      <c r="L47" s="30">
        <f>L46-$B$47</f>
        <v>700</v>
      </c>
      <c r="M47" s="30">
        <f>M46-$B$47</f>
        <v>13000</v>
      </c>
      <c r="N47" s="30">
        <f t="shared" ref="N47" si="22">N46-$B$47</f>
        <v>12000</v>
      </c>
      <c r="O47" s="30">
        <f t="shared" ref="O47" si="23">O46-$B$47</f>
        <v>25000</v>
      </c>
      <c r="P47" s="30">
        <f>P46-$B$41</f>
        <v>0</v>
      </c>
      <c r="Q47" s="30">
        <f>Q46-$B$47</f>
        <v>2000</v>
      </c>
      <c r="R47" s="30">
        <f>R46-$B$47</f>
        <v>5000</v>
      </c>
      <c r="S47" s="30">
        <f>S46-$B$47</f>
        <v>8000</v>
      </c>
      <c r="T47" s="30">
        <f>T46-$B$47</f>
        <v>11000</v>
      </c>
      <c r="U47" s="30">
        <f t="shared" ref="U47" si="24">U46-$B$47</f>
        <v>13000</v>
      </c>
      <c r="V47" s="30">
        <f t="shared" ref="V47" si="25">V46-$B$47</f>
        <v>16000</v>
      </c>
    </row>
    <row r="48" spans="1:22" x14ac:dyDescent="0.2">
      <c r="A48" s="35" t="s">
        <v>63</v>
      </c>
      <c r="B48" s="36">
        <v>17520</v>
      </c>
      <c r="C48" s="36">
        <f>B48</f>
        <v>17520</v>
      </c>
      <c r="D48" s="36">
        <f t="shared" ref="D48:H48" si="26">C48</f>
        <v>17520</v>
      </c>
      <c r="E48" s="36">
        <f t="shared" si="26"/>
        <v>17520</v>
      </c>
      <c r="F48" s="36">
        <f t="shared" si="26"/>
        <v>17520</v>
      </c>
      <c r="G48" s="36">
        <f t="shared" si="26"/>
        <v>17520</v>
      </c>
      <c r="H48" s="36">
        <f t="shared" si="26"/>
        <v>17520</v>
      </c>
      <c r="I48" s="36">
        <v>9900</v>
      </c>
      <c r="J48" s="36">
        <f>I48</f>
        <v>9900</v>
      </c>
      <c r="K48" s="36">
        <f t="shared" ref="K48:O48" si="27">J48</f>
        <v>9900</v>
      </c>
      <c r="L48" s="36">
        <f t="shared" si="27"/>
        <v>9900</v>
      </c>
      <c r="M48" s="36">
        <f t="shared" si="27"/>
        <v>9900</v>
      </c>
      <c r="N48" s="36">
        <f t="shared" si="27"/>
        <v>9900</v>
      </c>
      <c r="O48" s="36">
        <f t="shared" si="27"/>
        <v>9900</v>
      </c>
      <c r="P48" s="36">
        <v>1800</v>
      </c>
      <c r="Q48" s="36">
        <f>P48</f>
        <v>1800</v>
      </c>
      <c r="R48" s="36">
        <f t="shared" ref="R48:V48" si="28">Q48</f>
        <v>1800</v>
      </c>
      <c r="S48" s="36">
        <f t="shared" si="28"/>
        <v>1800</v>
      </c>
      <c r="T48" s="36">
        <f t="shared" si="28"/>
        <v>1800</v>
      </c>
      <c r="U48" s="36">
        <f t="shared" si="28"/>
        <v>1800</v>
      </c>
      <c r="V48" s="36">
        <f t="shared" si="28"/>
        <v>1800</v>
      </c>
    </row>
    <row r="49" spans="1:22" x14ac:dyDescent="0.2">
      <c r="A49" s="83" t="s">
        <v>64</v>
      </c>
      <c r="B49" s="103">
        <v>1600</v>
      </c>
      <c r="C49" s="103">
        <f>B49</f>
        <v>1600</v>
      </c>
      <c r="D49" s="103">
        <f t="shared" ref="D49:H49" si="29">C49</f>
        <v>1600</v>
      </c>
      <c r="E49" s="103">
        <f t="shared" si="29"/>
        <v>1600</v>
      </c>
      <c r="F49" s="103">
        <f t="shared" si="29"/>
        <v>1600</v>
      </c>
      <c r="G49" s="103">
        <f t="shared" si="29"/>
        <v>1600</v>
      </c>
      <c r="H49" s="103">
        <f t="shared" si="29"/>
        <v>1600</v>
      </c>
      <c r="I49" s="103">
        <v>3200</v>
      </c>
      <c r="J49" s="103">
        <f>I49</f>
        <v>3200</v>
      </c>
      <c r="K49" s="103">
        <f t="shared" ref="K49:O49" si="30">J49</f>
        <v>3200</v>
      </c>
      <c r="L49" s="103">
        <f t="shared" si="30"/>
        <v>3200</v>
      </c>
      <c r="M49" s="103">
        <f t="shared" si="30"/>
        <v>3200</v>
      </c>
      <c r="N49" s="103">
        <f t="shared" si="30"/>
        <v>3200</v>
      </c>
      <c r="O49" s="103">
        <f t="shared" si="30"/>
        <v>3200</v>
      </c>
      <c r="P49" s="103">
        <v>3200</v>
      </c>
      <c r="Q49" s="103">
        <f>P49</f>
        <v>3200</v>
      </c>
      <c r="R49" s="103">
        <f t="shared" ref="R49:V49" si="31">Q49</f>
        <v>3200</v>
      </c>
      <c r="S49" s="103">
        <f t="shared" si="31"/>
        <v>3200</v>
      </c>
      <c r="T49" s="103">
        <f t="shared" si="31"/>
        <v>3200</v>
      </c>
      <c r="U49" s="103">
        <f t="shared" si="31"/>
        <v>3200</v>
      </c>
      <c r="V49" s="103">
        <f t="shared" si="31"/>
        <v>3200</v>
      </c>
    </row>
    <row r="50" spans="1:22" x14ac:dyDescent="0.2">
      <c r="A50" s="83" t="s">
        <v>100</v>
      </c>
      <c r="B50" s="103"/>
      <c r="C50" s="103"/>
      <c r="D50" s="103"/>
      <c r="E50" s="103">
        <v>5040</v>
      </c>
      <c r="F50" s="103">
        <v>5040</v>
      </c>
      <c r="G50" s="103">
        <v>10530</v>
      </c>
      <c r="H50" s="103">
        <v>10530</v>
      </c>
      <c r="I50" s="103"/>
      <c r="J50" s="103"/>
      <c r="K50" s="103"/>
      <c r="L50" s="103">
        <v>4920</v>
      </c>
      <c r="M50" s="103">
        <v>4920</v>
      </c>
      <c r="N50" s="103">
        <v>10530</v>
      </c>
      <c r="O50" s="103">
        <v>10530</v>
      </c>
      <c r="P50" s="103"/>
      <c r="Q50" s="103"/>
      <c r="R50" s="103"/>
      <c r="S50" s="103">
        <v>2400</v>
      </c>
      <c r="T50" s="103">
        <v>2400</v>
      </c>
      <c r="U50" s="103">
        <v>4320</v>
      </c>
      <c r="V50" s="103">
        <v>4320</v>
      </c>
    </row>
    <row r="51" spans="1:22" x14ac:dyDescent="0.2">
      <c r="A51" s="83" t="s">
        <v>101</v>
      </c>
      <c r="B51" s="120">
        <v>2500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03"/>
      <c r="J51" s="120"/>
      <c r="K51" s="120"/>
      <c r="L51" s="120"/>
      <c r="M51" s="120"/>
      <c r="N51" s="120"/>
      <c r="O51" s="120"/>
      <c r="P51" s="103"/>
      <c r="Q51" s="120"/>
      <c r="R51" s="120"/>
      <c r="S51" s="120"/>
      <c r="T51" s="120"/>
      <c r="U51" s="120"/>
      <c r="V51" s="120"/>
    </row>
    <row r="52" spans="1:22" x14ac:dyDescent="0.2">
      <c r="A52" s="37" t="s">
        <v>76</v>
      </c>
      <c r="B52" s="38"/>
      <c r="C52" s="38"/>
      <c r="D52" s="38"/>
      <c r="E52" s="38"/>
      <c r="F52" s="38"/>
      <c r="G52" s="38"/>
      <c r="H52" s="38"/>
      <c r="I52" s="38">
        <v>15000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5500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</row>
    <row r="53" spans="1:22" x14ac:dyDescent="0.2">
      <c r="A53" s="37" t="s">
        <v>167</v>
      </c>
      <c r="B53" s="38"/>
      <c r="C53" s="134">
        <v>13.1</v>
      </c>
      <c r="D53" s="134"/>
      <c r="E53" s="134">
        <v>9.8000000000000007</v>
      </c>
      <c r="F53" s="134"/>
      <c r="G53" s="134">
        <v>6.2</v>
      </c>
      <c r="H53" s="134"/>
      <c r="I53" s="134"/>
      <c r="J53" s="134">
        <v>8.9</v>
      </c>
      <c r="K53" s="134"/>
      <c r="L53" s="134">
        <v>5.7</v>
      </c>
      <c r="M53" s="134"/>
      <c r="N53" s="134">
        <v>2</v>
      </c>
      <c r="O53" s="134"/>
      <c r="P53" s="134"/>
      <c r="Q53" s="134">
        <v>3.7</v>
      </c>
      <c r="R53" s="134"/>
      <c r="S53" s="134">
        <v>2.1</v>
      </c>
      <c r="T53" s="134"/>
      <c r="U53" s="134">
        <v>0.8</v>
      </c>
      <c r="V53" s="134"/>
    </row>
    <row r="54" spans="1:22" x14ac:dyDescent="0.2">
      <c r="A54" s="37" t="s">
        <v>168</v>
      </c>
      <c r="B54" s="38"/>
      <c r="C54" s="135"/>
      <c r="D54" s="135">
        <v>4.4000000000000004</v>
      </c>
      <c r="E54" s="135"/>
      <c r="F54" s="135">
        <v>3.3</v>
      </c>
      <c r="G54" s="135"/>
      <c r="H54" s="135">
        <v>2.1</v>
      </c>
      <c r="I54" s="135"/>
      <c r="J54" s="135"/>
      <c r="K54" s="135">
        <v>3</v>
      </c>
      <c r="L54" s="135"/>
      <c r="M54" s="135">
        <v>1.9</v>
      </c>
      <c r="N54" s="135"/>
      <c r="O54" s="135">
        <v>0.7</v>
      </c>
      <c r="P54" s="135"/>
      <c r="Q54" s="135"/>
      <c r="R54" s="135">
        <v>1.2</v>
      </c>
      <c r="S54" s="135"/>
      <c r="T54" s="135">
        <v>0.7</v>
      </c>
      <c r="U54" s="135"/>
      <c r="V54" s="135">
        <v>0.3</v>
      </c>
    </row>
    <row r="55" spans="1:22" x14ac:dyDescent="0.2">
      <c r="A55" s="37" t="s">
        <v>42</v>
      </c>
      <c r="B55" s="38">
        <v>4000</v>
      </c>
      <c r="C55" s="38">
        <f>B55</f>
        <v>4000</v>
      </c>
      <c r="D55" s="38">
        <f t="shared" ref="D55:H55" si="32">C55</f>
        <v>4000</v>
      </c>
      <c r="E55" s="38">
        <f t="shared" si="32"/>
        <v>4000</v>
      </c>
      <c r="F55" s="38">
        <f t="shared" si="32"/>
        <v>4000</v>
      </c>
      <c r="G55" s="38">
        <f t="shared" si="32"/>
        <v>4000</v>
      </c>
      <c r="H55" s="38">
        <f t="shared" si="32"/>
        <v>4000</v>
      </c>
      <c r="I55" s="38">
        <v>3000</v>
      </c>
      <c r="J55" s="38">
        <f>I55</f>
        <v>3000</v>
      </c>
      <c r="K55" s="38">
        <f t="shared" ref="K55:O55" si="33">J55</f>
        <v>3000</v>
      </c>
      <c r="L55" s="38">
        <f t="shared" si="33"/>
        <v>3000</v>
      </c>
      <c r="M55" s="38">
        <f t="shared" si="33"/>
        <v>3000</v>
      </c>
      <c r="N55" s="38">
        <f t="shared" si="33"/>
        <v>3000</v>
      </c>
      <c r="O55" s="38">
        <f t="shared" si="33"/>
        <v>3000</v>
      </c>
      <c r="P55" s="38">
        <v>3000</v>
      </c>
      <c r="Q55" s="38">
        <f>P55</f>
        <v>3000</v>
      </c>
      <c r="R55" s="38">
        <f t="shared" ref="R55:V55" si="34">Q55</f>
        <v>3000</v>
      </c>
      <c r="S55" s="38">
        <f t="shared" si="34"/>
        <v>3000</v>
      </c>
      <c r="T55" s="38">
        <f t="shared" si="34"/>
        <v>3000</v>
      </c>
      <c r="U55" s="38">
        <f t="shared" si="34"/>
        <v>3000</v>
      </c>
      <c r="V55" s="38">
        <f t="shared" si="34"/>
        <v>3000</v>
      </c>
    </row>
    <row r="56" spans="1:22" x14ac:dyDescent="0.2">
      <c r="A56" s="37" t="s">
        <v>16</v>
      </c>
      <c r="B56" s="38">
        <f>10.6*B23+B55</f>
        <v>30500</v>
      </c>
      <c r="C56" s="38">
        <v>28590</v>
      </c>
      <c r="D56" s="38">
        <v>27710</v>
      </c>
      <c r="E56" s="38">
        <v>22350</v>
      </c>
      <c r="F56" s="38">
        <v>21690</v>
      </c>
      <c r="G56" s="38">
        <v>15570</v>
      </c>
      <c r="H56" s="38">
        <v>15150</v>
      </c>
      <c r="I56" s="38">
        <v>18000</v>
      </c>
      <c r="J56" s="38">
        <v>19780</v>
      </c>
      <c r="K56" s="38">
        <v>19180</v>
      </c>
      <c r="L56" s="38">
        <v>13720</v>
      </c>
      <c r="M56" s="38">
        <v>13330</v>
      </c>
      <c r="N56" s="38">
        <v>6790</v>
      </c>
      <c r="O56" s="38">
        <v>6650</v>
      </c>
      <c r="P56" s="38">
        <v>8500</v>
      </c>
      <c r="Q56" s="38">
        <v>9960</v>
      </c>
      <c r="R56" s="38">
        <v>9550</v>
      </c>
      <c r="S56" s="38">
        <v>6920</v>
      </c>
      <c r="T56" s="38">
        <v>6690</v>
      </c>
      <c r="U56" s="38">
        <v>4490</v>
      </c>
      <c r="V56" s="38">
        <v>4410</v>
      </c>
    </row>
    <row r="57" spans="1:22" x14ac:dyDescent="0.2">
      <c r="A57" s="37" t="s">
        <v>39</v>
      </c>
      <c r="B57" s="39">
        <f>10*ROUND((100*B23*$B$6+B55*$B$10)/1000,0)</f>
        <v>5100</v>
      </c>
      <c r="C57" s="39">
        <v>2910</v>
      </c>
      <c r="D57" s="39">
        <v>3350</v>
      </c>
      <c r="E57" s="39">
        <v>2580</v>
      </c>
      <c r="F57" s="39">
        <v>2910</v>
      </c>
      <c r="G57" s="39">
        <v>2220</v>
      </c>
      <c r="H57" s="39">
        <v>2430</v>
      </c>
      <c r="I57" s="39">
        <v>3000</v>
      </c>
      <c r="J57" s="39">
        <v>2090</v>
      </c>
      <c r="K57" s="39">
        <v>2400</v>
      </c>
      <c r="L57" s="39">
        <v>1770</v>
      </c>
      <c r="M57" s="39">
        <v>1970</v>
      </c>
      <c r="N57" s="39">
        <v>1400</v>
      </c>
      <c r="O57" s="39">
        <v>1470</v>
      </c>
      <c r="P57" s="39">
        <v>1860</v>
      </c>
      <c r="Q57" s="39">
        <v>1570</v>
      </c>
      <c r="R57" s="136">
        <v>1690</v>
      </c>
      <c r="S57" s="39">
        <v>1410</v>
      </c>
      <c r="T57" s="39">
        <v>1470</v>
      </c>
      <c r="U57" s="39">
        <v>1280</v>
      </c>
      <c r="V57" s="39">
        <v>1300</v>
      </c>
    </row>
    <row r="58" spans="1:22" x14ac:dyDescent="0.2">
      <c r="A58" s="34" t="s">
        <v>40</v>
      </c>
      <c r="B58" s="32">
        <v>200</v>
      </c>
      <c r="C58" s="32">
        <v>90</v>
      </c>
      <c r="D58" s="32">
        <v>220</v>
      </c>
      <c r="E58" s="32">
        <v>200</v>
      </c>
      <c r="F58" s="32">
        <v>330</v>
      </c>
      <c r="G58" s="32">
        <v>320</v>
      </c>
      <c r="H58" s="32">
        <v>450</v>
      </c>
      <c r="I58" s="32">
        <v>150</v>
      </c>
      <c r="J58" s="32">
        <v>100</v>
      </c>
      <c r="K58" s="32">
        <v>230</v>
      </c>
      <c r="L58" s="32">
        <v>210</v>
      </c>
      <c r="M58" s="32">
        <v>340</v>
      </c>
      <c r="N58" s="32">
        <v>330</v>
      </c>
      <c r="O58" s="32">
        <v>460</v>
      </c>
      <c r="P58" s="32">
        <v>150</v>
      </c>
      <c r="Q58" s="32">
        <v>160</v>
      </c>
      <c r="R58" s="32">
        <v>180</v>
      </c>
      <c r="S58" s="32">
        <v>190</v>
      </c>
      <c r="T58" s="32">
        <v>210</v>
      </c>
      <c r="U58" s="32">
        <v>220</v>
      </c>
      <c r="V58" s="32">
        <v>230</v>
      </c>
    </row>
    <row r="59" spans="1:22" x14ac:dyDescent="0.2">
      <c r="A59" s="40" t="s">
        <v>41</v>
      </c>
      <c r="B59" s="41">
        <f>B57+B58</f>
        <v>5300</v>
      </c>
      <c r="C59" s="41">
        <f t="shared" ref="C59:D59" si="35">C57+C58</f>
        <v>3000</v>
      </c>
      <c r="D59" s="41">
        <f t="shared" si="35"/>
        <v>3570</v>
      </c>
      <c r="E59" s="41">
        <f>E57+E58</f>
        <v>2780</v>
      </c>
      <c r="F59" s="41">
        <f>F57+F58</f>
        <v>3240</v>
      </c>
      <c r="G59" s="41">
        <f t="shared" ref="G59:H59" si="36">G57+G58</f>
        <v>2540</v>
      </c>
      <c r="H59" s="41">
        <f t="shared" si="36"/>
        <v>2880</v>
      </c>
      <c r="I59" s="41">
        <f>I57+I58</f>
        <v>3150</v>
      </c>
      <c r="J59" s="41">
        <f t="shared" ref="J59" si="37">J57+J58</f>
        <v>2190</v>
      </c>
      <c r="K59" s="41">
        <f t="shared" ref="K59" si="38">K57+K58</f>
        <v>2630</v>
      </c>
      <c r="L59" s="41">
        <f>L57+L58</f>
        <v>1980</v>
      </c>
      <c r="M59" s="41">
        <f>M57+M58</f>
        <v>2310</v>
      </c>
      <c r="N59" s="41">
        <f t="shared" ref="N59:O59" si="39">N57+N58</f>
        <v>1730</v>
      </c>
      <c r="O59" s="41">
        <f t="shared" si="39"/>
        <v>1930</v>
      </c>
      <c r="P59" s="41">
        <f>P57+P58</f>
        <v>2010</v>
      </c>
      <c r="Q59" s="41">
        <f t="shared" ref="Q59" si="40">Q57+Q58</f>
        <v>1730</v>
      </c>
      <c r="R59" s="41">
        <f t="shared" ref="R59" si="41">R57+R58</f>
        <v>1870</v>
      </c>
      <c r="S59" s="41">
        <f>S57+S58</f>
        <v>1600</v>
      </c>
      <c r="T59" s="41">
        <f>T57+T58</f>
        <v>1680</v>
      </c>
      <c r="U59" s="41">
        <f t="shared" ref="U59:V59" si="42">U57+U58</f>
        <v>1500</v>
      </c>
      <c r="V59" s="41">
        <f t="shared" si="42"/>
        <v>1530</v>
      </c>
    </row>
    <row r="60" spans="1:22" x14ac:dyDescent="0.2">
      <c r="A60" s="29" t="s">
        <v>2</v>
      </c>
      <c r="B60" s="42"/>
      <c r="C60" s="42">
        <f t="shared" ref="C60:D60" si="43">-C47-20*(C59-$B$59)</f>
        <v>48130</v>
      </c>
      <c r="D60" s="42">
        <f t="shared" si="43"/>
        <v>30930</v>
      </c>
      <c r="E60" s="42">
        <f>-E47-20*(E59-$B$59)</f>
        <v>51030</v>
      </c>
      <c r="F60" s="42">
        <f>-F47-20*(F59-$B$59)</f>
        <v>29530</v>
      </c>
      <c r="G60" s="42">
        <f>-G47-20*(G59-$B$59)</f>
        <v>44530</v>
      </c>
      <c r="H60" s="42">
        <f>-H47-20*(H59-$B$59)</f>
        <v>24730</v>
      </c>
      <c r="I60" s="42"/>
      <c r="J60" s="42">
        <f>-J47-20*(J59-$I$59)</f>
        <v>20000</v>
      </c>
      <c r="K60" s="42">
        <f>-K47-20*(K59-$I$59)</f>
        <v>5400</v>
      </c>
      <c r="L60" s="42">
        <f t="shared" ref="L60:M60" si="44">-L47-20*(L59-$I$59)</f>
        <v>22700</v>
      </c>
      <c r="M60" s="42">
        <f t="shared" si="44"/>
        <v>3800</v>
      </c>
      <c r="N60" s="42">
        <f t="shared" ref="N60" si="45">-N47-20*(N59-$I$59)</f>
        <v>16400</v>
      </c>
      <c r="O60" s="42">
        <f t="shared" ref="O60" si="46">-O47-20*(O59-$I$59)</f>
        <v>-600</v>
      </c>
      <c r="P60" s="42"/>
      <c r="Q60" s="42">
        <f>-Q47-20*(Q59-$P$59)</f>
        <v>3600</v>
      </c>
      <c r="R60" s="42">
        <f t="shared" ref="R60:V60" si="47">-R47-20*(R59-$P$59)</f>
        <v>-2200</v>
      </c>
      <c r="S60" s="42">
        <f t="shared" si="47"/>
        <v>200</v>
      </c>
      <c r="T60" s="42">
        <f t="shared" si="47"/>
        <v>-4400</v>
      </c>
      <c r="U60" s="42">
        <f t="shared" si="47"/>
        <v>-2800</v>
      </c>
      <c r="V60" s="42">
        <f t="shared" si="47"/>
        <v>-6400</v>
      </c>
    </row>
    <row r="61" spans="1:22" x14ac:dyDescent="0.2">
      <c r="A61" s="29" t="s">
        <v>14</v>
      </c>
      <c r="B61" s="43"/>
      <c r="C61" s="44" t="str">
        <f t="shared" ref="C61:D61" si="48">IF((($B$59-C59)=0),IF((C47&lt;=0),"sofort","nie"),IF((C47/($B$59-C59)&lt;=0),IF((C47&lt;=0),"sofort","nie"),C47/($B$59-C59)))</f>
        <v>sofort</v>
      </c>
      <c r="D61" s="44">
        <f t="shared" si="48"/>
        <v>2.1213872832369942</v>
      </c>
      <c r="E61" s="44" t="str">
        <f>IF((($B$59-E59)=0),IF((E47&lt;=0),"sofort","nie"),IF((E47/($B$59-E59)&lt;=0),IF((E47&lt;=0),"sofort","nie"),E47/($B$59-E59)))</f>
        <v>sofort</v>
      </c>
      <c r="F61" s="44">
        <f>IF((($B$59-F59)=0),IF((F47&lt;=0),"sofort","nie"),IF((F47/($B$59-F59)&lt;=0),IF((F47&lt;=0),"sofort","nie"),F47/($B$59-F59)))</f>
        <v>5.6650485436893208</v>
      </c>
      <c r="G61" s="44">
        <f>IF((($B$59-G59)=0),IF((G47&lt;=0),"sofort","nie"),IF((G47/($B$59-G59)&lt;=0),IF((G47&lt;=0),"sofort","nie"),G47/($B$59-G59)))</f>
        <v>3.8659420289855073</v>
      </c>
      <c r="H61" s="44">
        <f>IF((($B$59-H59)=0),IF((H47&lt;=0),"sofort","nie"),IF((H47/($B$59-H59)&lt;=0),IF((H47&lt;=0),"sofort","nie"),H47/($B$59-H59)))</f>
        <v>9.7809917355371905</v>
      </c>
      <c r="I61" s="44"/>
      <c r="J61" s="44" t="str">
        <f>IF((($I$59-J59)=0),IF((J47&lt;=0),"sofort","nie"),IF((J47/($I$59-J59)&lt;=0),IF((J47&lt;=0),"sofort","nie"),J47/($I$59-J59)))</f>
        <v>sofort</v>
      </c>
      <c r="K61" s="44">
        <f>IF((($I$59-K59)=0),IF((K47&lt;=0),"sofort","nie"),IF((K47/($I$59-K59)&lt;=0),IF((K47&lt;=0),"sofort","nie"),K47/($I$59-K59)))</f>
        <v>9.615384615384615</v>
      </c>
      <c r="L61" s="44">
        <f t="shared" ref="L61:M61" si="49">IF((($I$59-L59)=0),IF((L47&lt;=0),"sofort","nie"),IF((L47/($I$59-L59)&lt;=0),IF((L47&lt;=0),"sofort","nie"),L47/($I$59-L59)))</f>
        <v>0.59829059829059827</v>
      </c>
      <c r="M61" s="44">
        <f t="shared" si="49"/>
        <v>15.476190476190476</v>
      </c>
      <c r="N61" s="44">
        <f t="shared" ref="N61:O61" si="50">IF((($I$59-N59)=0),IF((N47&lt;=0),"sofort","nie"),IF((N47/($I$59-N59)&lt;=0),IF((N47&lt;=0),"sofort","nie"),N47/($I$59-N59)))</f>
        <v>8.4507042253521121</v>
      </c>
      <c r="O61" s="44">
        <f t="shared" si="50"/>
        <v>20.491803278688526</v>
      </c>
      <c r="P61" s="44"/>
      <c r="Q61" s="44">
        <f>IF((($P$59-Q59)=0),IF((Q47&lt;=0),"sofort","nie"),IF((Q47/($P$59-Q59)&lt;=0),IF((Q47&lt;=0),"sofort","nie"),Q47/($P$59-Q59)))</f>
        <v>7.1428571428571432</v>
      </c>
      <c r="R61" s="44">
        <f t="shared" ref="R61:V61" si="51">IF((($P$59-R59)=0),IF((R47&lt;=0),"sofort","nie"),IF((R47/($P$59-R59)&lt;=0),IF((R47&lt;=0),"sofort","nie"),R47/($P$59-R59)))</f>
        <v>35.714285714285715</v>
      </c>
      <c r="S61" s="44">
        <f t="shared" si="51"/>
        <v>19.512195121951219</v>
      </c>
      <c r="T61" s="44">
        <f t="shared" si="51"/>
        <v>33.333333333333336</v>
      </c>
      <c r="U61" s="44">
        <f t="shared" si="51"/>
        <v>25.490196078431371</v>
      </c>
      <c r="V61" s="44">
        <f t="shared" si="51"/>
        <v>33.333333333333336</v>
      </c>
    </row>
    <row r="62" spans="1:22" x14ac:dyDescent="0.2">
      <c r="A62" s="29" t="s">
        <v>15</v>
      </c>
      <c r="B62" s="45">
        <f>ROUND((10.6*B23*$I$6+B55*$I$10)/1000,1)</f>
        <v>10.5</v>
      </c>
      <c r="C62" s="45">
        <v>2.7</v>
      </c>
      <c r="D62" s="45">
        <v>3.2</v>
      </c>
      <c r="E62" s="45">
        <v>2.6</v>
      </c>
      <c r="F62" s="45">
        <v>3</v>
      </c>
      <c r="G62" s="45">
        <v>2.5</v>
      </c>
      <c r="H62" s="45">
        <v>2.7</v>
      </c>
      <c r="I62" s="45">
        <v>5.3</v>
      </c>
      <c r="J62" s="45">
        <v>2</v>
      </c>
      <c r="K62" s="45">
        <v>2.2999999999999998</v>
      </c>
      <c r="L62" s="45">
        <v>1.9</v>
      </c>
      <c r="M62" s="45">
        <v>2.1</v>
      </c>
      <c r="N62" s="45">
        <v>1.8</v>
      </c>
      <c r="O62" s="45">
        <v>1.8</v>
      </c>
      <c r="P62" s="45">
        <v>3</v>
      </c>
      <c r="Q62" s="45">
        <v>1.8</v>
      </c>
      <c r="R62" s="45">
        <v>1.9</v>
      </c>
      <c r="S62" s="45">
        <v>1.8</v>
      </c>
      <c r="T62" s="45">
        <v>1.8</v>
      </c>
      <c r="U62" s="45">
        <v>1.7</v>
      </c>
      <c r="V62" s="45">
        <v>1.7</v>
      </c>
    </row>
    <row r="63" spans="1:22" x14ac:dyDescent="0.2">
      <c r="A63" s="29" t="s">
        <v>160</v>
      </c>
      <c r="B63" s="46">
        <v>0</v>
      </c>
      <c r="C63" s="119">
        <v>1</v>
      </c>
      <c r="D63" s="119">
        <v>0</v>
      </c>
      <c r="E63" s="119">
        <v>1</v>
      </c>
      <c r="F63" s="119">
        <v>0.23699999999999999</v>
      </c>
      <c r="G63" s="119">
        <v>1</v>
      </c>
      <c r="H63" s="119">
        <f>H64</f>
        <v>0.41699999999999998</v>
      </c>
      <c r="I63" s="46">
        <v>0</v>
      </c>
      <c r="J63" s="119">
        <v>1</v>
      </c>
      <c r="K63" s="119">
        <v>0</v>
      </c>
      <c r="L63" s="119">
        <v>1</v>
      </c>
      <c r="M63" s="119">
        <v>0.29100000000000004</v>
      </c>
      <c r="N63" s="119">
        <v>1</v>
      </c>
      <c r="O63" s="119">
        <f>O64</f>
        <v>0.60199999999999998</v>
      </c>
      <c r="P63" s="46">
        <v>0</v>
      </c>
      <c r="Q63" s="119">
        <v>1</v>
      </c>
      <c r="R63" s="119">
        <v>0</v>
      </c>
      <c r="S63" s="119">
        <v>1</v>
      </c>
      <c r="T63" s="119">
        <f>T64</f>
        <v>0.31900000000000001</v>
      </c>
      <c r="U63" s="119">
        <v>1</v>
      </c>
      <c r="V63" s="119">
        <f>V64</f>
        <v>0.54500000000000004</v>
      </c>
    </row>
    <row r="64" spans="1:22" x14ac:dyDescent="0.2">
      <c r="A64" s="29" t="s">
        <v>162</v>
      </c>
      <c r="B64" s="46">
        <v>0</v>
      </c>
      <c r="C64" s="119">
        <v>0.86900000000000011</v>
      </c>
      <c r="D64" s="119">
        <v>0</v>
      </c>
      <c r="E64" s="119">
        <v>0.86900000000000011</v>
      </c>
      <c r="F64" s="119">
        <v>0.23699999999999999</v>
      </c>
      <c r="G64" s="119">
        <v>0.86899999999999999</v>
      </c>
      <c r="H64" s="119">
        <f>H65</f>
        <v>0.41699999999999998</v>
      </c>
      <c r="I64" s="46">
        <v>0</v>
      </c>
      <c r="J64" s="119">
        <v>0.83299999999999996</v>
      </c>
      <c r="K64" s="119">
        <v>0</v>
      </c>
      <c r="L64" s="119">
        <v>0.83299999999999996</v>
      </c>
      <c r="M64" s="119">
        <v>0.29100000000000004</v>
      </c>
      <c r="N64" s="119">
        <v>0.83299999999999996</v>
      </c>
      <c r="O64" s="119">
        <f>O65</f>
        <v>0.60199999999999998</v>
      </c>
      <c r="P64" s="46">
        <v>0</v>
      </c>
      <c r="Q64" s="119">
        <v>0.64700000000000002</v>
      </c>
      <c r="R64" s="119">
        <v>0</v>
      </c>
      <c r="S64" s="119">
        <v>0.64700000000000002</v>
      </c>
      <c r="T64" s="119">
        <f>T65</f>
        <v>0.31900000000000001</v>
      </c>
      <c r="U64" s="119">
        <v>0.64700000000000002</v>
      </c>
      <c r="V64" s="119">
        <f>V65</f>
        <v>0.54500000000000004</v>
      </c>
    </row>
    <row r="65" spans="1:22" x14ac:dyDescent="0.2">
      <c r="A65" s="29" t="s">
        <v>163</v>
      </c>
      <c r="B65" s="46">
        <v>0</v>
      </c>
      <c r="C65" s="119">
        <v>0</v>
      </c>
      <c r="D65" s="119">
        <v>0</v>
      </c>
      <c r="E65" s="119">
        <v>0.23699999999999999</v>
      </c>
      <c r="F65" s="119">
        <v>0.23699999999999999</v>
      </c>
      <c r="G65" s="119">
        <v>0.41699999999999998</v>
      </c>
      <c r="H65" s="119">
        <v>0.41699999999999998</v>
      </c>
      <c r="I65" s="46">
        <v>0</v>
      </c>
      <c r="J65" s="119">
        <v>0</v>
      </c>
      <c r="K65" s="119">
        <v>0</v>
      </c>
      <c r="L65" s="119">
        <v>0.29100000000000004</v>
      </c>
      <c r="M65" s="119">
        <v>0.29100000000000004</v>
      </c>
      <c r="N65" s="119">
        <v>0.60199999999999998</v>
      </c>
      <c r="O65" s="119">
        <v>0.60199999999999998</v>
      </c>
      <c r="P65" s="46">
        <v>0</v>
      </c>
      <c r="Q65" s="119">
        <v>0</v>
      </c>
      <c r="R65" s="119">
        <v>0</v>
      </c>
      <c r="S65" s="119">
        <v>0.31900000000000001</v>
      </c>
      <c r="T65" s="119">
        <v>0.31900000000000001</v>
      </c>
      <c r="U65" s="119">
        <v>0.54500000000000004</v>
      </c>
      <c r="V65" s="119">
        <v>0.54500000000000004</v>
      </c>
    </row>
    <row r="66" spans="1:22" x14ac:dyDescent="0.2">
      <c r="A66" s="143" t="s">
        <v>194</v>
      </c>
      <c r="B66" s="144">
        <f>B56/B25</f>
        <v>254.16666666666666</v>
      </c>
      <c r="C66" s="144">
        <f t="shared" ref="C66:V66" si="52">C56/C25</f>
        <v>238.25</v>
      </c>
      <c r="D66" s="144">
        <f t="shared" si="52"/>
        <v>230.91666666666666</v>
      </c>
      <c r="E66" s="144">
        <f t="shared" si="52"/>
        <v>186.25</v>
      </c>
      <c r="F66" s="144">
        <f t="shared" si="52"/>
        <v>180.75</v>
      </c>
      <c r="G66" s="144">
        <f t="shared" si="52"/>
        <v>129.75</v>
      </c>
      <c r="H66" s="144">
        <f t="shared" si="52"/>
        <v>126.25</v>
      </c>
      <c r="I66" s="144">
        <f t="shared" si="52"/>
        <v>128.57142857142858</v>
      </c>
      <c r="J66" s="144">
        <f t="shared" si="52"/>
        <v>141.28571428571428</v>
      </c>
      <c r="K66" s="144">
        <f t="shared" si="52"/>
        <v>137</v>
      </c>
      <c r="L66" s="144">
        <f t="shared" si="52"/>
        <v>98</v>
      </c>
      <c r="M66" s="144">
        <f t="shared" si="52"/>
        <v>95.214285714285708</v>
      </c>
      <c r="N66" s="144">
        <f t="shared" si="52"/>
        <v>48.5</v>
      </c>
      <c r="O66" s="144">
        <f t="shared" si="52"/>
        <v>47.5</v>
      </c>
      <c r="P66" s="144">
        <f t="shared" si="52"/>
        <v>70.833333333333329</v>
      </c>
      <c r="Q66" s="144">
        <f t="shared" si="52"/>
        <v>83</v>
      </c>
      <c r="R66" s="144">
        <f t="shared" si="52"/>
        <v>79.583333333333329</v>
      </c>
      <c r="S66" s="144">
        <f t="shared" si="52"/>
        <v>57.666666666666664</v>
      </c>
      <c r="T66" s="144">
        <f t="shared" si="52"/>
        <v>55.75</v>
      </c>
      <c r="U66" s="144">
        <f t="shared" si="52"/>
        <v>37.416666666666664</v>
      </c>
      <c r="V66" s="144">
        <f t="shared" si="52"/>
        <v>36.75</v>
      </c>
    </row>
    <row r="67" spans="1:22" x14ac:dyDescent="0.2">
      <c r="D67" s="6"/>
      <c r="E67" s="6"/>
      <c r="I67" s="3"/>
    </row>
    <row r="68" spans="1:22" x14ac:dyDescent="0.2">
      <c r="B68" s="58"/>
      <c r="C68" s="49" t="s">
        <v>44</v>
      </c>
      <c r="D68" s="49"/>
      <c r="E68" s="49"/>
      <c r="F68" s="59"/>
      <c r="G68" s="60" t="s">
        <v>45</v>
      </c>
      <c r="H68" s="49"/>
      <c r="I68" s="50"/>
    </row>
    <row r="69" spans="1:22" x14ac:dyDescent="0.2">
      <c r="B69" s="61"/>
      <c r="C69" t="s">
        <v>46</v>
      </c>
      <c r="F69" s="62"/>
      <c r="G69" s="52" t="s">
        <v>47</v>
      </c>
      <c r="I69" s="53"/>
    </row>
    <row r="70" spans="1:22" x14ac:dyDescent="0.2">
      <c r="B70" s="63"/>
      <c r="C70" t="s">
        <v>48</v>
      </c>
      <c r="F70" s="64"/>
      <c r="G70" t="s">
        <v>170</v>
      </c>
      <c r="I70" s="53"/>
    </row>
    <row r="71" spans="1:22" x14ac:dyDescent="0.2">
      <c r="B71" s="65"/>
      <c r="C71" s="56" t="s">
        <v>49</v>
      </c>
      <c r="D71" s="56"/>
      <c r="E71" s="56"/>
      <c r="F71" s="137"/>
      <c r="G71" s="56" t="s">
        <v>172</v>
      </c>
      <c r="H71" s="56"/>
      <c r="I71" s="57"/>
    </row>
    <row r="73" spans="1:22" x14ac:dyDescent="0.2">
      <c r="B73" s="47"/>
      <c r="C73" s="48" t="s">
        <v>52</v>
      </c>
      <c r="D73" s="49"/>
      <c r="E73" s="49"/>
      <c r="F73" s="50"/>
    </row>
    <row r="74" spans="1:22" x14ac:dyDescent="0.2">
      <c r="B74" s="51" t="s">
        <v>53</v>
      </c>
      <c r="C74" s="52" t="s">
        <v>55</v>
      </c>
      <c r="F74" s="53"/>
    </row>
    <row r="75" spans="1:22" x14ac:dyDescent="0.2">
      <c r="B75" s="54" t="s">
        <v>54</v>
      </c>
      <c r="C75" s="55" t="s">
        <v>56</v>
      </c>
      <c r="D75" s="56"/>
      <c r="E75" s="56"/>
      <c r="F75" s="57"/>
    </row>
    <row r="77" spans="1:22" x14ac:dyDescent="0.2">
      <c r="B77" t="s">
        <v>195</v>
      </c>
    </row>
    <row r="79" spans="1:22" x14ac:dyDescent="0.2">
      <c r="B79" s="146" t="s">
        <v>196</v>
      </c>
      <c r="C79" s="147" t="s">
        <v>196</v>
      </c>
      <c r="D79" s="148" t="s">
        <v>197</v>
      </c>
      <c r="E79" s="149" t="s">
        <v>197</v>
      </c>
      <c r="F79" s="150" t="s">
        <v>198</v>
      </c>
    </row>
    <row r="80" spans="1:22" x14ac:dyDescent="0.2">
      <c r="B80" s="142"/>
      <c r="C80" s="147" t="s">
        <v>199</v>
      </c>
      <c r="D80" s="148"/>
      <c r="E80" s="149" t="s">
        <v>200</v>
      </c>
      <c r="F80" s="145"/>
    </row>
  </sheetData>
  <sheetProtection algorithmName="SHA-512" hashValue="tqkKOZDn4R+NYXgLVuK6Fm3PqWhjTOcvfefg/l4O8rRnhVUzZRiCngETztb+M1k5zb4D6hgBH3KyaM5utVEeVw==" saltValue="UybwCPpXYlQJcqUEniisbg==" spinCount="100000" sheet="1" objects="1" scenarios="1" selectLockedCells="1" selectUnlockedCells="1"/>
  <phoneticPr fontId="0" type="noConversion"/>
  <conditionalFormatting sqref="B61">
    <cfRule type="expression" dxfId="59" priority="171" stopIfTrue="1">
      <formula>OR(IF(B$47&gt;0,B$61&lt;=10,B$61&gt;30),B$61&lt;0)</formula>
    </cfRule>
    <cfRule type="expression" dxfId="58" priority="172" stopIfTrue="1">
      <formula>B$47&lt;0</formula>
    </cfRule>
  </conditionalFormatting>
  <conditionalFormatting sqref="B62 I62 P62">
    <cfRule type="cellIs" dxfId="57" priority="52" stopIfTrue="1" operator="greaterThan">
      <formula>$B$62</formula>
    </cfRule>
    <cfRule type="cellIs" dxfId="56" priority="55" stopIfTrue="1" operator="lessThanOrEqual">
      <formula>2</formula>
    </cfRule>
  </conditionalFormatting>
  <conditionalFormatting sqref="B47:V47">
    <cfRule type="cellIs" dxfId="55" priority="45" operator="lessThan">
      <formula>0</formula>
    </cfRule>
    <cfRule type="cellIs" dxfId="54" priority="46" stopIfTrue="1" operator="lessThanOrEqual">
      <formula>5000</formula>
    </cfRule>
  </conditionalFormatting>
  <conditionalFormatting sqref="B59:V59">
    <cfRule type="cellIs" dxfId="53" priority="47" operator="greaterThan">
      <formula>$B$59</formula>
    </cfRule>
    <cfRule type="cellIs" dxfId="52" priority="64" stopIfTrue="1" operator="lessThanOrEqual">
      <formula>1500</formula>
    </cfRule>
  </conditionalFormatting>
  <conditionalFormatting sqref="B60:V60">
    <cfRule type="cellIs" dxfId="51" priority="37" stopIfTrue="1" operator="greaterThanOrEqual">
      <formula>5000</formula>
    </cfRule>
  </conditionalFormatting>
  <conditionalFormatting sqref="B63:V63 C65:H65 J65:O65">
    <cfRule type="cellIs" dxfId="50" priority="32" stopIfTrue="1" operator="greaterThanOrEqual">
      <formula>0.5</formula>
    </cfRule>
  </conditionalFormatting>
  <conditionalFormatting sqref="B66:V66">
    <cfRule type="cellIs" dxfId="49" priority="1" operator="greaterThan">
      <formula>220</formula>
    </cfRule>
    <cfRule type="cellIs" dxfId="48" priority="2" operator="between">
      <formula>180</formula>
      <formula>220</formula>
    </cfRule>
    <cfRule type="cellIs" dxfId="47" priority="3" operator="between">
      <formula>100</formula>
      <formula>180</formula>
    </cfRule>
    <cfRule type="cellIs" dxfId="46" priority="4" operator="between">
      <formula>80</formula>
      <formula>100</formula>
    </cfRule>
    <cfRule type="cellIs" dxfId="45" priority="5" operator="lessThan">
      <formula>80</formula>
    </cfRule>
  </conditionalFormatting>
  <conditionalFormatting sqref="C61:H61 Q61:V61">
    <cfRule type="expression" dxfId="44" priority="35">
      <formula>OR(IF(C$46&gt;0,C$61&lt;=10,C$61&gt;30),C$61="sofort")</formula>
    </cfRule>
    <cfRule type="expression" dxfId="43" priority="36" stopIfTrue="1">
      <formula>C$47&lt;0</formula>
    </cfRule>
  </conditionalFormatting>
  <conditionalFormatting sqref="C62:H62">
    <cfRule type="cellIs" dxfId="42" priority="33" operator="lessThanOrEqual">
      <formula>2</formula>
    </cfRule>
    <cfRule type="cellIs" dxfId="41" priority="34" operator="greaterThan">
      <formula>$B$62</formula>
    </cfRule>
  </conditionalFormatting>
  <conditionalFormatting sqref="C64:H64 J64:O64 B64:B65 I64:I65 P64:P65">
    <cfRule type="cellIs" dxfId="40" priority="50" stopIfTrue="1" operator="greaterThanOrEqual">
      <formula>0.5</formula>
    </cfRule>
  </conditionalFormatting>
  <conditionalFormatting sqref="I61 P61">
    <cfRule type="expression" dxfId="39" priority="173">
      <formula>OR(IF(I$47&gt;0,I$61&lt;=10,I$61&gt;30),I$63="sofort")</formula>
    </cfRule>
    <cfRule type="expression" dxfId="38" priority="174" stopIfTrue="1">
      <formula>I$47&lt;0</formula>
    </cfRule>
  </conditionalFormatting>
  <conditionalFormatting sqref="J61:O61">
    <cfRule type="expression" dxfId="37" priority="14">
      <formula>OR(IF(J$46&gt;0,J$61&lt;=10,J$61&gt;30),J$61="sofort")</formula>
    </cfRule>
    <cfRule type="expression" dxfId="36" priority="15" stopIfTrue="1">
      <formula>J$47&lt;0</formula>
    </cfRule>
  </conditionalFormatting>
  <conditionalFormatting sqref="J62:O62">
    <cfRule type="cellIs" dxfId="35" priority="12" operator="lessThanOrEqual">
      <formula>2</formula>
    </cfRule>
    <cfRule type="cellIs" dxfId="34" priority="13" operator="greaterThan">
      <formula>$B$62</formula>
    </cfRule>
  </conditionalFormatting>
  <conditionalFormatting sqref="Q62:V62">
    <cfRule type="cellIs" dxfId="33" priority="8" operator="lessThanOrEqual">
      <formula>2</formula>
    </cfRule>
    <cfRule type="cellIs" dxfId="32" priority="9" operator="greaterThan">
      <formula>$B$62</formula>
    </cfRule>
  </conditionalFormatting>
  <conditionalFormatting sqref="Q64:V64">
    <cfRule type="cellIs" dxfId="31" priority="17" stopIfTrue="1" operator="greaterThanOrEqual">
      <formula>0.5</formula>
    </cfRule>
  </conditionalFormatting>
  <conditionalFormatting sqref="Q65:V65">
    <cfRule type="cellIs" dxfId="30" priority="16" stopIfTrue="1" operator="greaterThanOrEqual">
      <formula>0.5</formula>
    </cfRule>
  </conditionalFormatting>
  <pageMargins left="0.39370078740157483" right="0.39370078740157483" top="0.98425196850393704" bottom="0.98425196850393704" header="0.51181102362204722" footer="0.51181102362204722"/>
  <pageSetup paperSize="9" scale="47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T95"/>
  <sheetViews>
    <sheetView showGridLines="0" zoomScale="90" zoomScaleNormal="90" workbookViewId="0">
      <pane xSplit="1" topLeftCell="B1" activePane="topRight" state="frozen"/>
      <selection pane="topRight" activeCell="B6" sqref="B6"/>
    </sheetView>
  </sheetViews>
  <sheetFormatPr baseColWidth="10" defaultRowHeight="12.75" x14ac:dyDescent="0.2"/>
  <cols>
    <col min="1" max="1" width="36.140625" customWidth="1"/>
    <col min="2" max="14" width="17.7109375" customWidth="1"/>
  </cols>
  <sheetData>
    <row r="1" spans="1:38" s="2" customFormat="1" ht="23.25" x14ac:dyDescent="0.35">
      <c r="A1" s="7" t="s">
        <v>132</v>
      </c>
      <c r="B1" s="2" t="s">
        <v>133</v>
      </c>
    </row>
    <row r="2" spans="1:38" s="2" customFormat="1" ht="23.25" x14ac:dyDescent="0.35">
      <c r="A2" s="7"/>
      <c r="B2" s="66" t="s">
        <v>188</v>
      </c>
    </row>
    <row r="3" spans="1:38" s="2" customFormat="1" ht="23.25" x14ac:dyDescent="0.35">
      <c r="A3" s="7"/>
      <c r="B3" s="52" t="s">
        <v>184</v>
      </c>
      <c r="C3"/>
      <c r="D3"/>
      <c r="E3"/>
      <c r="F3"/>
    </row>
    <row r="4" spans="1:38" s="2" customFormat="1" ht="24.95" customHeight="1" x14ac:dyDescent="0.35">
      <c r="A4" s="7"/>
      <c r="B4" s="96" t="s">
        <v>187</v>
      </c>
      <c r="C4" s="97"/>
      <c r="D4" s="97"/>
      <c r="E4" s="97"/>
      <c r="F4" s="97"/>
      <c r="M4" s="102"/>
      <c r="N4" s="102"/>
    </row>
    <row r="5" spans="1:38" ht="12.75" customHeight="1" x14ac:dyDescent="0.2">
      <c r="A5" s="10"/>
      <c r="B5" s="11"/>
      <c r="C5" s="11"/>
      <c r="D5" s="11"/>
      <c r="E5" s="11"/>
      <c r="F5" s="11"/>
      <c r="G5" s="11"/>
      <c r="H5" s="75" t="s">
        <v>32</v>
      </c>
      <c r="I5" s="72"/>
      <c r="J5" s="11"/>
      <c r="K5" s="11"/>
      <c r="L5" s="11"/>
      <c r="M5" s="11"/>
      <c r="N5" s="12"/>
      <c r="O5" s="82"/>
      <c r="P5" s="82"/>
    </row>
    <row r="6" spans="1:38" x14ac:dyDescent="0.2">
      <c r="A6" s="17" t="s">
        <v>50</v>
      </c>
      <c r="B6" s="68">
        <v>2500</v>
      </c>
      <c r="C6" s="69" t="s">
        <v>51</v>
      </c>
      <c r="D6" s="70" t="str">
        <f>IF(OR((B6&lt;0),(B6&gt;100000)),"Wert prüfen","gültiger Wert")</f>
        <v>gültiger Wert</v>
      </c>
      <c r="E6" s="9"/>
      <c r="F6" s="9"/>
      <c r="G6" s="9"/>
      <c r="H6" s="77">
        <v>2500</v>
      </c>
      <c r="I6" s="72" t="s">
        <v>51</v>
      </c>
      <c r="J6" s="9"/>
      <c r="K6" s="9"/>
      <c r="L6" s="9"/>
      <c r="M6" s="9"/>
      <c r="N6" s="14"/>
      <c r="O6" s="82"/>
      <c r="P6" s="82"/>
    </row>
    <row r="7" spans="1:38" x14ac:dyDescent="0.2">
      <c r="A7" s="17" t="s">
        <v>67</v>
      </c>
      <c r="B7" s="68">
        <v>0</v>
      </c>
      <c r="C7" s="69" t="s">
        <v>65</v>
      </c>
      <c r="D7" s="70" t="str">
        <f>IF(OR((B7&lt;0),(B7&gt;1000000)),"Wert prüfen","gültiger Wert")</f>
        <v>gültiger Wert</v>
      </c>
      <c r="E7" s="9"/>
      <c r="F7" s="9"/>
      <c r="G7" s="9"/>
      <c r="H7" s="77">
        <v>0</v>
      </c>
      <c r="I7" s="72" t="s">
        <v>65</v>
      </c>
      <c r="J7" s="9"/>
      <c r="K7" s="9"/>
      <c r="L7" s="9"/>
      <c r="M7" s="9"/>
      <c r="N7" s="14"/>
      <c r="O7" s="82"/>
      <c r="P7" s="82"/>
    </row>
    <row r="8" spans="1:38" x14ac:dyDescent="0.2">
      <c r="A8" s="17" t="s">
        <v>70</v>
      </c>
      <c r="B8" s="68">
        <v>0</v>
      </c>
      <c r="C8" s="69" t="s">
        <v>73</v>
      </c>
      <c r="D8" s="70" t="str">
        <f>IF(OR((B8&lt;0),(B8&gt;100000)),"Wert prüfen","gültiger Wert")</f>
        <v>gültiger Wert</v>
      </c>
      <c r="E8" s="9"/>
      <c r="F8" s="9"/>
      <c r="G8" s="9"/>
      <c r="H8" s="77">
        <v>0</v>
      </c>
      <c r="I8" s="72" t="s">
        <v>65</v>
      </c>
      <c r="J8" s="9"/>
      <c r="K8" s="9"/>
      <c r="L8" s="9"/>
      <c r="M8" s="9"/>
      <c r="N8" s="14"/>
      <c r="O8" s="82"/>
      <c r="P8" s="82"/>
    </row>
    <row r="9" spans="1:38" x14ac:dyDescent="0.2">
      <c r="A9" s="17" t="s">
        <v>71</v>
      </c>
      <c r="B9" s="68">
        <v>0</v>
      </c>
      <c r="C9" s="69" t="s">
        <v>74</v>
      </c>
      <c r="D9" s="70" t="str">
        <f>IF(OR((B9&lt;0),(B9&gt;100000)),"Wert prüfen","gültiger Wert")</f>
        <v>gültiger Wert</v>
      </c>
      <c r="E9" s="9"/>
      <c r="F9" s="9"/>
      <c r="G9" s="9"/>
      <c r="H9" s="77">
        <v>0</v>
      </c>
      <c r="I9" s="72" t="s">
        <v>65</v>
      </c>
      <c r="J9" s="9"/>
      <c r="K9" s="9"/>
      <c r="L9" s="9"/>
      <c r="M9" s="9"/>
      <c r="N9" s="14"/>
      <c r="O9" s="82"/>
      <c r="P9" s="82"/>
    </row>
    <row r="10" spans="1:38" x14ac:dyDescent="0.2">
      <c r="A10" s="17" t="s">
        <v>72</v>
      </c>
      <c r="B10" s="68">
        <v>0</v>
      </c>
      <c r="C10" s="69" t="s">
        <v>65</v>
      </c>
      <c r="D10" s="70" t="str">
        <f>IF(OR((B10&lt;0),(B10&gt;1000000)),"Wert prüfen","gültiger Wert")</f>
        <v>gültiger Wert</v>
      </c>
      <c r="E10" s="9"/>
      <c r="F10" s="9"/>
      <c r="G10" s="9"/>
      <c r="H10" s="77">
        <v>0</v>
      </c>
      <c r="I10" s="72" t="s">
        <v>65</v>
      </c>
      <c r="J10" s="9"/>
      <c r="K10" s="9"/>
      <c r="L10" s="9"/>
      <c r="M10" s="9"/>
      <c r="N10" s="14"/>
      <c r="O10" s="82"/>
      <c r="P10" s="82"/>
    </row>
    <row r="11" spans="1:38" x14ac:dyDescent="0.2">
      <c r="A11" s="17" t="s">
        <v>68</v>
      </c>
      <c r="B11" s="68">
        <v>4600</v>
      </c>
      <c r="C11" s="69" t="s">
        <v>65</v>
      </c>
      <c r="D11" s="70" t="str">
        <f>IF(OR((B11&lt;0),(B11&gt;100000)),"Wert prüfen","gültiger Wert")</f>
        <v>gültiger Wert</v>
      </c>
      <c r="E11" s="9"/>
      <c r="F11" s="9"/>
      <c r="G11" s="9"/>
      <c r="H11" s="77">
        <v>4600</v>
      </c>
      <c r="I11" s="72" t="s">
        <v>65</v>
      </c>
      <c r="J11" s="17" t="s">
        <v>27</v>
      </c>
      <c r="K11" s="18"/>
      <c r="L11" s="19"/>
      <c r="M11" s="75" t="s">
        <v>32</v>
      </c>
      <c r="N11" s="72"/>
      <c r="O11" s="82"/>
      <c r="P11" s="82"/>
    </row>
    <row r="12" spans="1:38" x14ac:dyDescent="0.2">
      <c r="A12" s="17" t="s">
        <v>69</v>
      </c>
      <c r="B12" s="68">
        <v>3000</v>
      </c>
      <c r="C12" s="69" t="s">
        <v>65</v>
      </c>
      <c r="D12" s="70" t="str">
        <f>IF(OR((B12&lt;0),(B12&gt;100000)),"Wert prüfen","gültiger Wert")</f>
        <v>gültiger Wert</v>
      </c>
      <c r="E12" s="9"/>
      <c r="F12" s="9"/>
      <c r="G12" s="9"/>
      <c r="H12" s="77">
        <v>3000</v>
      </c>
      <c r="I12" s="72" t="s">
        <v>65</v>
      </c>
      <c r="J12" s="20" t="s">
        <v>38</v>
      </c>
      <c r="K12" s="74">
        <v>0.31</v>
      </c>
      <c r="L12" s="19" t="s">
        <v>31</v>
      </c>
      <c r="M12" s="100">
        <v>0.31</v>
      </c>
      <c r="N12" s="72" t="s">
        <v>31</v>
      </c>
      <c r="O12" s="82"/>
      <c r="P12" s="82"/>
    </row>
    <row r="13" spans="1:38" x14ac:dyDescent="0.2">
      <c r="A13" s="17" t="s">
        <v>82</v>
      </c>
      <c r="B13" s="71">
        <v>0.8</v>
      </c>
      <c r="C13" s="69"/>
      <c r="D13" s="70" t="str">
        <f>IF(OR((B13&lt;0.5),(B13&gt;1)),"Wert außerhalb","gültiger Wert")</f>
        <v>gültiger Wert</v>
      </c>
      <c r="E13" s="9"/>
      <c r="F13" s="9"/>
      <c r="G13" s="9"/>
      <c r="H13" s="76">
        <v>0.8</v>
      </c>
      <c r="I13" s="72"/>
      <c r="J13" s="20" t="s">
        <v>28</v>
      </c>
      <c r="K13" s="74">
        <v>0.24</v>
      </c>
      <c r="L13" s="19" t="s">
        <v>31</v>
      </c>
      <c r="M13" s="100">
        <v>0.24</v>
      </c>
      <c r="N13" s="72" t="s">
        <v>31</v>
      </c>
      <c r="O13" s="82"/>
      <c r="P13" s="82"/>
    </row>
    <row r="14" spans="1:38" x14ac:dyDescent="0.2">
      <c r="A14" s="17" t="s">
        <v>37</v>
      </c>
      <c r="B14" s="67">
        <v>1.4</v>
      </c>
      <c r="C14" s="70" t="s">
        <v>83</v>
      </c>
      <c r="D14" s="70" t="str">
        <f>IF(OR((B14&lt;0),(B14&gt;10)),"Wert prüfen","gültiger Wert")</f>
        <v>gültiger Wert</v>
      </c>
      <c r="E14" s="9"/>
      <c r="F14" s="9"/>
      <c r="G14" s="9"/>
      <c r="H14" s="92" t="s">
        <v>77</v>
      </c>
      <c r="I14" s="72"/>
      <c r="J14" s="20" t="s">
        <v>20</v>
      </c>
      <c r="K14" s="74">
        <v>0.56000000000000005</v>
      </c>
      <c r="L14" s="19" t="s">
        <v>31</v>
      </c>
      <c r="M14" s="100">
        <v>0.56000000000000005</v>
      </c>
      <c r="N14" s="72" t="s">
        <v>31</v>
      </c>
      <c r="O14" s="82"/>
      <c r="P14" s="82"/>
    </row>
    <row r="15" spans="1:38" x14ac:dyDescent="0.2">
      <c r="A15" s="17" t="s">
        <v>17</v>
      </c>
      <c r="B15" s="67">
        <v>12</v>
      </c>
      <c r="C15" s="70" t="s">
        <v>19</v>
      </c>
      <c r="D15" s="70" t="str">
        <f>IF(OR((B15&lt;3),(B15&gt;100)),"Wert prüfen","gültiger Wert")</f>
        <v>gültiger Wert</v>
      </c>
      <c r="E15" s="9"/>
      <c r="F15" s="9"/>
      <c r="G15" s="9"/>
      <c r="H15" s="92" t="s">
        <v>78</v>
      </c>
      <c r="I15" s="72"/>
      <c r="J15" s="20" t="s">
        <v>29</v>
      </c>
      <c r="K15" s="74">
        <v>0.02</v>
      </c>
      <c r="L15" s="19" t="s">
        <v>31</v>
      </c>
      <c r="M15" s="100">
        <v>0.02</v>
      </c>
      <c r="N15" s="72" t="s">
        <v>31</v>
      </c>
      <c r="O15" s="82"/>
      <c r="P15" s="82"/>
    </row>
    <row r="16" spans="1:38" x14ac:dyDescent="0.2">
      <c r="A16" s="17" t="s">
        <v>21</v>
      </c>
      <c r="B16" s="68">
        <v>100</v>
      </c>
      <c r="C16" s="70" t="s">
        <v>23</v>
      </c>
      <c r="D16" s="20" t="str">
        <f>IF(OR((B16&lt;10),(B16&gt;1000)),"Wert prüfen","gültiger Wert")</f>
        <v>gültiger Wert</v>
      </c>
      <c r="E16" s="91">
        <v>1880</v>
      </c>
      <c r="F16" s="18" t="s">
        <v>25</v>
      </c>
      <c r="G16" s="108">
        <f>B16/E16*100</f>
        <v>5.3191489361702127</v>
      </c>
      <c r="H16" s="76">
        <v>100</v>
      </c>
      <c r="I16" s="106" t="s">
        <v>23</v>
      </c>
      <c r="J16" s="20" t="s">
        <v>30</v>
      </c>
      <c r="K16" s="74">
        <v>4.1000000000000002E-2</v>
      </c>
      <c r="L16" s="19" t="s">
        <v>31</v>
      </c>
      <c r="M16" s="100">
        <v>4.1000000000000002E-2</v>
      </c>
      <c r="N16" s="72" t="s">
        <v>31</v>
      </c>
      <c r="O16" s="4"/>
      <c r="P16" s="5"/>
      <c r="Q16" s="4"/>
      <c r="R16" s="5"/>
      <c r="S16" s="4"/>
      <c r="T16" s="4"/>
      <c r="AK16" s="82"/>
      <c r="AL16" s="82"/>
    </row>
    <row r="17" spans="1:38" x14ac:dyDescent="0.2">
      <c r="A17" s="17" t="s">
        <v>22</v>
      </c>
      <c r="B17" s="68">
        <v>400</v>
      </c>
      <c r="C17" s="70" t="s">
        <v>24</v>
      </c>
      <c r="D17" s="20" t="str">
        <f>IF(OR((B17&lt;150),(B17&gt;1000)),"Wert prüfen","gültiger Wert")</f>
        <v>gültiger Wert</v>
      </c>
      <c r="E17" s="91">
        <v>5400</v>
      </c>
      <c r="F17" s="107" t="s">
        <v>26</v>
      </c>
      <c r="G17" s="108">
        <f>B17/E17*100</f>
        <v>7.4074074074074066</v>
      </c>
      <c r="H17" s="76">
        <v>400</v>
      </c>
      <c r="I17" s="106" t="s">
        <v>24</v>
      </c>
      <c r="J17" s="10"/>
      <c r="K17" s="9"/>
      <c r="L17" s="9"/>
      <c r="M17" s="98"/>
      <c r="N17" s="99"/>
      <c r="O17" s="4"/>
      <c r="P17" s="5"/>
      <c r="Q17" s="4"/>
      <c r="R17" s="5"/>
      <c r="S17" s="4"/>
      <c r="T17" s="4"/>
      <c r="AK17" s="82"/>
      <c r="AL17" s="82"/>
    </row>
    <row r="18" spans="1:38" x14ac:dyDescent="0.2">
      <c r="A18" s="17" t="s">
        <v>18</v>
      </c>
      <c r="B18" s="67">
        <v>40</v>
      </c>
      <c r="C18" s="70" t="s">
        <v>19</v>
      </c>
      <c r="D18" s="70" t="str">
        <f>IF(OR((B18&lt;10),(B18&gt;200)),"Wert prüfen","gültiger Wert")</f>
        <v>gültiger Wert</v>
      </c>
      <c r="E18" s="9"/>
      <c r="F18" s="9"/>
      <c r="G18" s="9"/>
      <c r="H18" s="92" t="s">
        <v>79</v>
      </c>
      <c r="I18" s="72"/>
      <c r="J18" s="9"/>
      <c r="K18" s="9"/>
      <c r="L18" s="9"/>
      <c r="M18" s="98"/>
      <c r="N18" s="99"/>
      <c r="O18" s="82"/>
      <c r="P18" s="82"/>
    </row>
    <row r="19" spans="1:38" x14ac:dyDescent="0.2">
      <c r="A19" s="17" t="s">
        <v>75</v>
      </c>
      <c r="B19" s="67">
        <v>35</v>
      </c>
      <c r="C19" s="70" t="s">
        <v>19</v>
      </c>
      <c r="D19" s="70" t="str">
        <f>IF(OR((B19&lt;10),(B19&gt;200)),"Wert prüfen","gültiger Wert")</f>
        <v>gültiger Wert</v>
      </c>
      <c r="E19" s="9"/>
      <c r="F19" s="9"/>
      <c r="G19" s="9"/>
      <c r="H19" s="92" t="s">
        <v>80</v>
      </c>
      <c r="I19" s="72"/>
      <c r="J19" s="9"/>
      <c r="K19" s="9"/>
      <c r="L19" s="9"/>
      <c r="M19" s="98"/>
      <c r="N19" s="99"/>
      <c r="O19" s="82"/>
      <c r="P19" s="82"/>
    </row>
    <row r="20" spans="1:38" x14ac:dyDescent="0.2">
      <c r="A20" s="17" t="s">
        <v>107</v>
      </c>
      <c r="B20" s="68">
        <v>1000</v>
      </c>
      <c r="C20" s="116" t="s">
        <v>108</v>
      </c>
      <c r="D20" s="70" t="str">
        <f>IF(OR((B20&lt;500),(B20&gt;1500)),"Wert außerhalb","gültiger Wert")</f>
        <v>gültiger Wert</v>
      </c>
      <c r="E20" s="13"/>
      <c r="F20" s="9"/>
      <c r="G20" s="14"/>
      <c r="H20" s="92">
        <v>1000</v>
      </c>
      <c r="I20" s="72" t="s">
        <v>108</v>
      </c>
      <c r="J20" s="13"/>
      <c r="K20" s="9"/>
      <c r="L20" s="9"/>
      <c r="M20" s="9"/>
      <c r="N20" s="14"/>
      <c r="O20" s="82"/>
      <c r="P20" s="82"/>
    </row>
    <row r="21" spans="1:38" x14ac:dyDescent="0.2">
      <c r="A21" s="73" t="s">
        <v>66</v>
      </c>
      <c r="B21" s="67">
        <v>0.5</v>
      </c>
      <c r="C21" s="69" t="s">
        <v>87</v>
      </c>
      <c r="D21" s="70" t="str">
        <f>IF(OR((B21&lt;0),(B21&gt;10)),"Wert prüfen","gültiger Wert")</f>
        <v>gültiger Wert</v>
      </c>
      <c r="E21" s="9"/>
      <c r="F21" s="9"/>
      <c r="G21" s="9"/>
      <c r="H21" s="128">
        <v>0.5</v>
      </c>
      <c r="I21" s="117" t="s">
        <v>87</v>
      </c>
      <c r="J21" s="13"/>
      <c r="K21" s="95"/>
      <c r="L21" s="9"/>
      <c r="M21" s="9"/>
      <c r="N21" s="14"/>
      <c r="O21" s="82"/>
      <c r="P21" s="82"/>
    </row>
    <row r="22" spans="1:38" x14ac:dyDescent="0.2">
      <c r="A22" s="73" t="s">
        <v>192</v>
      </c>
      <c r="B22" s="68">
        <v>120</v>
      </c>
      <c r="C22" s="69" t="s">
        <v>193</v>
      </c>
      <c r="D22" s="70" t="str">
        <f>IF(OR((B22&lt;10),(B22&gt;1000)),"Wert außerhalb","gültiger Wert")</f>
        <v>gültiger Wert</v>
      </c>
      <c r="E22" s="9"/>
      <c r="F22" s="9"/>
      <c r="G22" s="9"/>
      <c r="H22" s="128">
        <v>120</v>
      </c>
      <c r="I22" s="117" t="s">
        <v>193</v>
      </c>
      <c r="J22" s="13"/>
      <c r="K22" s="95"/>
      <c r="L22" s="9"/>
      <c r="M22" s="9"/>
      <c r="N22" s="14"/>
      <c r="O22" s="82"/>
      <c r="P22" s="82"/>
    </row>
    <row r="23" spans="1:38" x14ac:dyDescent="0.2">
      <c r="A23" s="17" t="s">
        <v>12</v>
      </c>
      <c r="B23" s="68">
        <v>4000</v>
      </c>
      <c r="C23" s="70" t="s">
        <v>13</v>
      </c>
      <c r="D23" s="70" t="str">
        <f>IF(OR((B23&lt;1000),(B23&gt;10000)),"Wert prüfen","gültiger Wert")</f>
        <v>gültiger Wert</v>
      </c>
      <c r="E23" s="9"/>
      <c r="F23" s="9"/>
      <c r="G23" s="9"/>
      <c r="H23" s="77" t="s">
        <v>81</v>
      </c>
      <c r="I23" s="72"/>
      <c r="J23" s="13"/>
      <c r="K23" s="9"/>
      <c r="L23" s="9"/>
      <c r="M23" s="9"/>
      <c r="N23" s="14"/>
      <c r="O23" s="82"/>
      <c r="P23" s="82"/>
    </row>
    <row r="24" spans="1:38" x14ac:dyDescent="0.2">
      <c r="A24" s="111" t="s">
        <v>84</v>
      </c>
      <c r="B24" s="151" t="s">
        <v>85</v>
      </c>
      <c r="C24" s="69" t="s">
        <v>86</v>
      </c>
      <c r="D24" s="70" t="str">
        <f>IF(OR(B24="n",B24="a"),"gültiger Wert","Fehleingabe")</f>
        <v>gültiger Wert</v>
      </c>
      <c r="E24" s="15"/>
      <c r="F24" s="15"/>
      <c r="G24" s="15"/>
      <c r="H24" s="112" t="s">
        <v>85</v>
      </c>
      <c r="I24" s="72"/>
      <c r="J24" s="109"/>
      <c r="K24" s="15"/>
      <c r="L24" s="15"/>
      <c r="M24" s="15"/>
      <c r="N24" s="16"/>
      <c r="O24" s="82"/>
      <c r="P24" s="82"/>
    </row>
    <row r="25" spans="1:38" x14ac:dyDescent="0.2">
      <c r="B25" s="3"/>
      <c r="C25" s="3"/>
      <c r="D25" s="6"/>
      <c r="E25" s="6"/>
      <c r="F25" s="3"/>
      <c r="G25" s="3"/>
      <c r="H25" s="3"/>
      <c r="I25" s="3"/>
      <c r="J25" s="6"/>
      <c r="K25" s="6"/>
      <c r="L25" s="5"/>
      <c r="M25" s="82"/>
      <c r="N25" s="82"/>
    </row>
    <row r="26" spans="1:38" x14ac:dyDescent="0.2">
      <c r="B26" s="3"/>
      <c r="C26" s="3"/>
      <c r="D26" s="6"/>
      <c r="E26" s="6"/>
      <c r="F26" s="3"/>
      <c r="G26" s="3"/>
      <c r="H26" s="3"/>
      <c r="I26" s="3"/>
      <c r="J26" s="6"/>
    </row>
    <row r="27" spans="1:38" x14ac:dyDescent="0.2">
      <c r="A27" s="24" t="s">
        <v>0</v>
      </c>
      <c r="B27" s="25" t="s">
        <v>33</v>
      </c>
      <c r="C27" s="25" t="s">
        <v>139</v>
      </c>
      <c r="D27" s="25" t="s">
        <v>140</v>
      </c>
      <c r="E27" s="25" t="s">
        <v>164</v>
      </c>
      <c r="F27" s="25" t="s">
        <v>142</v>
      </c>
      <c r="G27" s="27" t="s">
        <v>143</v>
      </c>
      <c r="H27" s="27" t="s">
        <v>166</v>
      </c>
      <c r="I27" s="27" t="s">
        <v>173</v>
      </c>
      <c r="J27" s="27" t="s">
        <v>174</v>
      </c>
      <c r="K27" s="27" t="s">
        <v>148</v>
      </c>
      <c r="L27" s="27" t="s">
        <v>149</v>
      </c>
      <c r="M27" s="27" t="s">
        <v>150</v>
      </c>
      <c r="N27" s="27" t="s">
        <v>183</v>
      </c>
    </row>
    <row r="28" spans="1:38" x14ac:dyDescent="0.2">
      <c r="A28" s="21"/>
      <c r="B28" s="21"/>
      <c r="C28" s="21" t="s">
        <v>134</v>
      </c>
      <c r="D28" s="21" t="s">
        <v>136</v>
      </c>
      <c r="E28" s="21" t="s">
        <v>135</v>
      </c>
      <c r="F28" s="21" t="s">
        <v>137</v>
      </c>
      <c r="G28" s="21" t="s">
        <v>90</v>
      </c>
      <c r="H28" s="21" t="s">
        <v>90</v>
      </c>
      <c r="I28" s="21" t="s">
        <v>90</v>
      </c>
      <c r="J28" s="21" t="s">
        <v>90</v>
      </c>
      <c r="K28" s="21" t="s">
        <v>90</v>
      </c>
      <c r="L28" s="21" t="s">
        <v>90</v>
      </c>
      <c r="M28" s="21" t="s">
        <v>90</v>
      </c>
      <c r="N28" s="21" t="s">
        <v>90</v>
      </c>
    </row>
    <row r="29" spans="1:38" x14ac:dyDescent="0.2">
      <c r="A29" s="21"/>
      <c r="B29" s="21"/>
      <c r="C29" s="21"/>
      <c r="D29" s="21" t="s">
        <v>189</v>
      </c>
      <c r="E29" s="21"/>
      <c r="F29" s="21"/>
      <c r="G29" s="21" t="s">
        <v>91</v>
      </c>
      <c r="H29" s="21" t="s">
        <v>91</v>
      </c>
      <c r="I29" s="21" t="s">
        <v>91</v>
      </c>
      <c r="J29" s="21" t="s">
        <v>91</v>
      </c>
      <c r="K29" s="21" t="s">
        <v>91</v>
      </c>
      <c r="L29" s="21" t="s">
        <v>91</v>
      </c>
      <c r="M29" s="21" t="s">
        <v>91</v>
      </c>
      <c r="N29" s="21" t="s">
        <v>91</v>
      </c>
    </row>
    <row r="30" spans="1:38" s="1" customFormat="1" x14ac:dyDescent="0.2">
      <c r="A30" s="21"/>
      <c r="B30" s="21"/>
      <c r="C30" s="21"/>
      <c r="D30" s="21"/>
      <c r="E30" s="21"/>
      <c r="F30" s="21"/>
      <c r="G30" s="21" t="s">
        <v>92</v>
      </c>
      <c r="H30" s="21" t="s">
        <v>92</v>
      </c>
      <c r="I30" s="21" t="s">
        <v>92</v>
      </c>
      <c r="J30" s="21" t="s">
        <v>92</v>
      </c>
      <c r="K30" s="21" t="s">
        <v>95</v>
      </c>
      <c r="L30" s="21" t="s">
        <v>95</v>
      </c>
      <c r="M30" s="21" t="s">
        <v>95</v>
      </c>
      <c r="N30" s="21" t="s">
        <v>95</v>
      </c>
      <c r="O30"/>
      <c r="P30"/>
      <c r="Q30"/>
      <c r="R30"/>
    </row>
    <row r="31" spans="1:38" s="1" customFormat="1" x14ac:dyDescent="0.2">
      <c r="A31" s="21"/>
      <c r="B31" s="21"/>
      <c r="C31" s="21"/>
      <c r="D31" s="21"/>
      <c r="E31" s="21"/>
      <c r="F31" s="21"/>
      <c r="G31" s="21" t="s">
        <v>93</v>
      </c>
      <c r="H31" s="21" t="s">
        <v>93</v>
      </c>
      <c r="I31" s="21" t="s">
        <v>93</v>
      </c>
      <c r="J31" s="21" t="s">
        <v>93</v>
      </c>
      <c r="K31" s="21" t="s">
        <v>93</v>
      </c>
      <c r="L31" s="21" t="s">
        <v>93</v>
      </c>
      <c r="M31" s="21" t="s">
        <v>93</v>
      </c>
      <c r="N31" s="21" t="s">
        <v>93</v>
      </c>
    </row>
    <row r="32" spans="1:38" s="1" customFormat="1" x14ac:dyDescent="0.2">
      <c r="A32" s="28"/>
      <c r="B32" s="28"/>
      <c r="C32" s="28"/>
      <c r="D32" s="28"/>
      <c r="E32" s="28"/>
      <c r="F32" s="28"/>
      <c r="G32" s="28" t="s">
        <v>141</v>
      </c>
      <c r="H32" s="28" t="s">
        <v>145</v>
      </c>
      <c r="I32" s="28" t="s">
        <v>146</v>
      </c>
      <c r="J32" s="28" t="s">
        <v>147</v>
      </c>
      <c r="K32" s="28" t="s">
        <v>141</v>
      </c>
      <c r="L32" s="28" t="s">
        <v>145</v>
      </c>
      <c r="M32" s="28" t="s">
        <v>146</v>
      </c>
      <c r="N32" s="28" t="s">
        <v>147</v>
      </c>
    </row>
    <row r="33" spans="1:46" s="1" customForma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46" s="1" customFormat="1" x14ac:dyDescent="0.2">
      <c r="A34" s="37" t="s">
        <v>88</v>
      </c>
      <c r="B34" s="39"/>
      <c r="C34" s="39"/>
      <c r="D34" s="39"/>
      <c r="E34" s="39"/>
      <c r="F34" s="39"/>
      <c r="G34" s="113">
        <v>3</v>
      </c>
      <c r="H34" s="132">
        <f>G34</f>
        <v>3</v>
      </c>
      <c r="I34" s="132">
        <f t="shared" ref="I34:J34" si="0">H34</f>
        <v>3</v>
      </c>
      <c r="J34" s="132">
        <f t="shared" si="0"/>
        <v>3</v>
      </c>
      <c r="K34" s="113">
        <v>12</v>
      </c>
      <c r="L34" s="132">
        <f>K34</f>
        <v>12</v>
      </c>
      <c r="M34" s="132">
        <f t="shared" ref="M34:N34" si="1">L34</f>
        <v>12</v>
      </c>
      <c r="N34" s="132">
        <f t="shared" si="1"/>
        <v>12</v>
      </c>
    </row>
    <row r="35" spans="1:46" s="1" customFormat="1" x14ac:dyDescent="0.2">
      <c r="A35" s="37" t="s">
        <v>191</v>
      </c>
      <c r="B35" s="84"/>
      <c r="C35" s="84"/>
      <c r="D35" s="84"/>
      <c r="E35" s="84"/>
      <c r="F35" s="84"/>
      <c r="G35" s="105">
        <v>1.1000000000000001</v>
      </c>
      <c r="H35" s="114">
        <f>G35</f>
        <v>1.1000000000000001</v>
      </c>
      <c r="I35" s="114">
        <f t="shared" ref="I35:J35" si="2">H35</f>
        <v>1.1000000000000001</v>
      </c>
      <c r="J35" s="114">
        <f t="shared" si="2"/>
        <v>1.1000000000000001</v>
      </c>
      <c r="K35" s="105">
        <v>1.1000000000000001</v>
      </c>
      <c r="L35" s="114">
        <f>K35</f>
        <v>1.1000000000000001</v>
      </c>
      <c r="M35" s="114">
        <f t="shared" ref="M35:N35" si="3">L35</f>
        <v>1.1000000000000001</v>
      </c>
      <c r="N35" s="114">
        <f t="shared" si="3"/>
        <v>1.1000000000000001</v>
      </c>
    </row>
    <row r="36" spans="1:46" s="1" customFormat="1" x14ac:dyDescent="0.2">
      <c r="A36" s="37" t="s">
        <v>89</v>
      </c>
      <c r="B36" s="84"/>
      <c r="C36" s="84"/>
      <c r="D36" s="84"/>
      <c r="E36" s="84"/>
      <c r="F36" s="84"/>
      <c r="G36" s="114"/>
      <c r="H36" s="114"/>
      <c r="I36" s="114"/>
      <c r="J36" s="114"/>
      <c r="K36" s="115">
        <v>35</v>
      </c>
      <c r="L36" s="133">
        <f>K36</f>
        <v>35</v>
      </c>
      <c r="M36" s="133">
        <f t="shared" ref="M36" si="4">L36</f>
        <v>35</v>
      </c>
      <c r="N36" s="133">
        <f>M36</f>
        <v>35</v>
      </c>
    </row>
    <row r="37" spans="1:46" s="1" customFormat="1" x14ac:dyDescent="0.2">
      <c r="A37" s="37" t="s">
        <v>138</v>
      </c>
      <c r="B37" s="84"/>
      <c r="C37" s="130">
        <v>0.79</v>
      </c>
      <c r="D37" s="130">
        <v>0.84</v>
      </c>
      <c r="E37" s="130">
        <v>0.81</v>
      </c>
      <c r="F37" s="130">
        <v>0.84</v>
      </c>
      <c r="G37" s="131">
        <f t="shared" ref="G37:N37" si="5">C37</f>
        <v>0.79</v>
      </c>
      <c r="H37" s="131">
        <f t="shared" si="5"/>
        <v>0.84</v>
      </c>
      <c r="I37" s="131">
        <f t="shared" si="5"/>
        <v>0.81</v>
      </c>
      <c r="J37" s="131">
        <f t="shared" si="5"/>
        <v>0.84</v>
      </c>
      <c r="K37" s="131">
        <f t="shared" si="5"/>
        <v>0.79</v>
      </c>
      <c r="L37" s="131">
        <f t="shared" si="5"/>
        <v>0.84</v>
      </c>
      <c r="M37" s="131">
        <f t="shared" si="5"/>
        <v>0.81</v>
      </c>
      <c r="N37" s="131">
        <f t="shared" si="5"/>
        <v>0.84</v>
      </c>
    </row>
    <row r="38" spans="1:46" s="1" customFormat="1" x14ac:dyDescent="0.2">
      <c r="A38" s="37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46" s="1" customFormat="1" x14ac:dyDescent="0.2">
      <c r="A39" s="83" t="s">
        <v>5</v>
      </c>
      <c r="B39" s="84"/>
      <c r="C39" s="85">
        <v>4000</v>
      </c>
      <c r="D39" s="85">
        <v>6000</v>
      </c>
      <c r="E39" s="85">
        <v>14000</v>
      </c>
      <c r="F39" s="85">
        <v>26000</v>
      </c>
      <c r="G39" s="39">
        <f t="shared" ref="G39:N41" si="6">C39</f>
        <v>4000</v>
      </c>
      <c r="H39" s="39">
        <f t="shared" si="6"/>
        <v>6000</v>
      </c>
      <c r="I39" s="39">
        <f t="shared" si="6"/>
        <v>14000</v>
      </c>
      <c r="J39" s="39">
        <f t="shared" si="6"/>
        <v>26000</v>
      </c>
      <c r="K39" s="39">
        <f t="shared" si="6"/>
        <v>4000</v>
      </c>
      <c r="L39" s="39">
        <f t="shared" si="6"/>
        <v>6000</v>
      </c>
      <c r="M39" s="39">
        <f t="shared" si="6"/>
        <v>14000</v>
      </c>
      <c r="N39" s="39">
        <f t="shared" si="6"/>
        <v>26000</v>
      </c>
    </row>
    <row r="40" spans="1:46" s="1" customFormat="1" x14ac:dyDescent="0.2">
      <c r="A40" s="37" t="s">
        <v>36</v>
      </c>
      <c r="B40" s="39"/>
      <c r="C40" s="85">
        <v>-6000</v>
      </c>
      <c r="D40" s="85">
        <v>-6000</v>
      </c>
      <c r="E40" s="85">
        <v>-9330</v>
      </c>
      <c r="F40" s="85">
        <v>-9330</v>
      </c>
      <c r="G40" s="39">
        <f t="shared" si="6"/>
        <v>-6000</v>
      </c>
      <c r="H40" s="39">
        <f t="shared" si="6"/>
        <v>-6000</v>
      </c>
      <c r="I40" s="39">
        <f t="shared" si="6"/>
        <v>-9330</v>
      </c>
      <c r="J40" s="39">
        <f t="shared" si="6"/>
        <v>-9330</v>
      </c>
      <c r="K40" s="39">
        <f t="shared" si="6"/>
        <v>-6000</v>
      </c>
      <c r="L40" s="39">
        <f t="shared" si="6"/>
        <v>-6000</v>
      </c>
      <c r="M40" s="39">
        <f t="shared" si="6"/>
        <v>-9330</v>
      </c>
      <c r="N40" s="39">
        <f t="shared" si="6"/>
        <v>-9330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s="1" customFormat="1" x14ac:dyDescent="0.2">
      <c r="A41" s="37" t="s">
        <v>34</v>
      </c>
      <c r="B41" s="39"/>
      <c r="C41" s="85">
        <v>1000</v>
      </c>
      <c r="D41" s="85">
        <v>2000</v>
      </c>
      <c r="E41" s="85">
        <v>1000</v>
      </c>
      <c r="F41" s="85">
        <v>2000</v>
      </c>
      <c r="G41" s="39">
        <f t="shared" si="6"/>
        <v>1000</v>
      </c>
      <c r="H41" s="39">
        <f t="shared" si="6"/>
        <v>2000</v>
      </c>
      <c r="I41" s="39">
        <f t="shared" si="6"/>
        <v>1000</v>
      </c>
      <c r="J41" s="39">
        <f t="shared" si="6"/>
        <v>2000</v>
      </c>
      <c r="K41" s="39">
        <f t="shared" si="6"/>
        <v>1000</v>
      </c>
      <c r="L41" s="39">
        <f t="shared" si="6"/>
        <v>2000</v>
      </c>
      <c r="M41" s="39">
        <f t="shared" si="6"/>
        <v>1000</v>
      </c>
      <c r="N41" s="39">
        <f t="shared" si="6"/>
        <v>2000</v>
      </c>
      <c r="O41" s="3"/>
      <c r="P41" s="3"/>
      <c r="Q41" s="3"/>
      <c r="R41" s="3"/>
    </row>
    <row r="42" spans="1:46" s="1" customFormat="1" x14ac:dyDescent="0.2">
      <c r="A42" s="37" t="s">
        <v>35</v>
      </c>
      <c r="B42" s="39"/>
      <c r="C42" s="85">
        <v>2000</v>
      </c>
      <c r="D42" s="85">
        <v>2000</v>
      </c>
      <c r="E42" s="85">
        <v>2000</v>
      </c>
      <c r="F42" s="85">
        <v>2000</v>
      </c>
      <c r="G42" s="39"/>
      <c r="H42" s="39"/>
      <c r="I42" s="39"/>
      <c r="J42" s="39"/>
      <c r="K42" s="39"/>
      <c r="L42" s="39"/>
      <c r="M42" s="39"/>
      <c r="N42" s="39"/>
    </row>
    <row r="43" spans="1:46" s="1" customFormat="1" x14ac:dyDescent="0.2">
      <c r="A43" s="37" t="s">
        <v>4</v>
      </c>
      <c r="B43" s="39"/>
      <c r="C43" s="39"/>
      <c r="D43" s="39"/>
      <c r="E43" s="39"/>
      <c r="F43" s="39"/>
      <c r="G43" s="85">
        <v>8000</v>
      </c>
      <c r="H43" s="39">
        <f>G43</f>
        <v>8000</v>
      </c>
      <c r="I43" s="39">
        <f t="shared" ref="I43:J43" si="7">H43</f>
        <v>8000</v>
      </c>
      <c r="J43" s="39">
        <f t="shared" si="7"/>
        <v>8000</v>
      </c>
      <c r="K43" s="85">
        <v>13000</v>
      </c>
      <c r="L43" s="39">
        <f>K43</f>
        <v>13000</v>
      </c>
      <c r="M43" s="39">
        <f t="shared" ref="M43:N43" si="8">L43</f>
        <v>13000</v>
      </c>
      <c r="N43" s="39">
        <f t="shared" si="8"/>
        <v>13000</v>
      </c>
    </row>
    <row r="44" spans="1:46" s="1" customFormat="1" x14ac:dyDescent="0.2">
      <c r="A44" s="37" t="s">
        <v>9</v>
      </c>
      <c r="B44" s="39"/>
      <c r="C44" s="8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1:46" s="1" customFormat="1" x14ac:dyDescent="0.2">
      <c r="A45" s="37" t="s">
        <v>6</v>
      </c>
      <c r="B45" s="39"/>
      <c r="C45" s="85">
        <v>1000</v>
      </c>
      <c r="D45" s="85">
        <v>1000</v>
      </c>
      <c r="E45" s="85">
        <v>1000</v>
      </c>
      <c r="F45" s="85">
        <v>1000</v>
      </c>
      <c r="G45" s="39">
        <f t="shared" ref="G45:N45" si="9">C45</f>
        <v>1000</v>
      </c>
      <c r="H45" s="39">
        <f t="shared" si="9"/>
        <v>1000</v>
      </c>
      <c r="I45" s="39">
        <f t="shared" si="9"/>
        <v>1000</v>
      </c>
      <c r="J45" s="39">
        <f t="shared" si="9"/>
        <v>1000</v>
      </c>
      <c r="K45" s="39">
        <f t="shared" si="9"/>
        <v>1000</v>
      </c>
      <c r="L45" s="39">
        <f t="shared" si="9"/>
        <v>1000</v>
      </c>
      <c r="M45" s="39">
        <f t="shared" si="9"/>
        <v>1000</v>
      </c>
      <c r="N45" s="39">
        <f t="shared" si="9"/>
        <v>1000</v>
      </c>
    </row>
    <row r="46" spans="1:46" s="1" customFormat="1" x14ac:dyDescent="0.2">
      <c r="A46" s="37" t="s">
        <v>7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1:46" s="1" customFormat="1" x14ac:dyDescent="0.2">
      <c r="A47" s="37" t="s">
        <v>8</v>
      </c>
      <c r="B47" s="39"/>
      <c r="C47" s="85"/>
      <c r="D47" s="85"/>
      <c r="E47" s="85"/>
      <c r="F47" s="85"/>
      <c r="G47" s="85">
        <v>0</v>
      </c>
      <c r="H47" s="39">
        <f>G47</f>
        <v>0</v>
      </c>
      <c r="I47" s="39">
        <f t="shared" ref="I47:J47" si="10">H47</f>
        <v>0</v>
      </c>
      <c r="J47" s="39">
        <f t="shared" si="10"/>
        <v>0</v>
      </c>
      <c r="K47" s="85">
        <v>0</v>
      </c>
      <c r="L47" s="39">
        <f>K47</f>
        <v>0</v>
      </c>
      <c r="M47" s="39">
        <f t="shared" ref="M47:N47" si="11">L47</f>
        <v>0</v>
      </c>
      <c r="N47" s="39">
        <f t="shared" si="11"/>
        <v>0</v>
      </c>
      <c r="O47" s="39"/>
    </row>
    <row r="48" spans="1:46" s="1" customFormat="1" x14ac:dyDescent="0.2">
      <c r="A48" s="86" t="s">
        <v>10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</row>
    <row r="49" spans="1:18" s="1" customFormat="1" x14ac:dyDescent="0.2">
      <c r="A49" s="29" t="s">
        <v>1</v>
      </c>
      <c r="B49" s="30">
        <f t="shared" ref="B49:G49" si="12">SUM(B39:B48)</f>
        <v>0</v>
      </c>
      <c r="C49" s="30">
        <f t="shared" si="12"/>
        <v>2000</v>
      </c>
      <c r="D49" s="30">
        <f t="shared" si="12"/>
        <v>5000</v>
      </c>
      <c r="E49" s="30">
        <f>SUM(E39:E48)</f>
        <v>8670</v>
      </c>
      <c r="F49" s="30">
        <f t="shared" si="12"/>
        <v>21670</v>
      </c>
      <c r="G49" s="30">
        <f t="shared" si="12"/>
        <v>8000</v>
      </c>
      <c r="H49" s="30">
        <f t="shared" ref="H49:J49" si="13">SUM(H39:H48)</f>
        <v>11000</v>
      </c>
      <c r="I49" s="30">
        <f t="shared" si="13"/>
        <v>14670</v>
      </c>
      <c r="J49" s="30">
        <f t="shared" si="13"/>
        <v>27670</v>
      </c>
      <c r="K49" s="30">
        <f t="shared" ref="K49:N49" si="14">SUM(K39:K48)</f>
        <v>13000</v>
      </c>
      <c r="L49" s="30">
        <f t="shared" si="14"/>
        <v>16000</v>
      </c>
      <c r="M49" s="30">
        <f t="shared" si="14"/>
        <v>19670</v>
      </c>
      <c r="N49" s="30">
        <f t="shared" si="14"/>
        <v>32670</v>
      </c>
    </row>
    <row r="50" spans="1:18" s="1" customFormat="1" x14ac:dyDescent="0.2">
      <c r="A50" s="24" t="s">
        <v>185</v>
      </c>
      <c r="B50" s="93"/>
      <c r="C50" s="93"/>
      <c r="D50" s="85">
        <v>30000</v>
      </c>
      <c r="E50" s="85">
        <v>30000</v>
      </c>
      <c r="F50" s="85">
        <v>30000</v>
      </c>
      <c r="G50" s="85">
        <v>30000</v>
      </c>
      <c r="H50" s="85">
        <v>30000</v>
      </c>
      <c r="I50" s="85">
        <v>30000</v>
      </c>
      <c r="J50" s="85">
        <v>30000</v>
      </c>
      <c r="K50" s="85">
        <v>30000</v>
      </c>
      <c r="L50" s="85">
        <v>30000</v>
      </c>
      <c r="M50" s="85">
        <v>30000</v>
      </c>
      <c r="N50" s="85">
        <v>30000</v>
      </c>
    </row>
    <row r="51" spans="1:18" s="1" customFormat="1" x14ac:dyDescent="0.2">
      <c r="A51" s="24" t="s">
        <v>186</v>
      </c>
      <c r="B51" s="93"/>
      <c r="C51" s="93"/>
      <c r="D51" s="105">
        <v>0.6</v>
      </c>
      <c r="E51" s="105">
        <v>0.6</v>
      </c>
      <c r="F51" s="105">
        <v>0.6</v>
      </c>
      <c r="G51" s="105">
        <v>0.6</v>
      </c>
      <c r="H51" s="105">
        <v>0.6</v>
      </c>
      <c r="I51" s="105">
        <v>0.7</v>
      </c>
      <c r="J51" s="105">
        <v>0.7</v>
      </c>
      <c r="K51" s="105">
        <v>0.6</v>
      </c>
      <c r="L51" s="105">
        <v>0.6</v>
      </c>
      <c r="M51" s="105">
        <v>0.7</v>
      </c>
      <c r="N51" s="105">
        <v>0.7</v>
      </c>
    </row>
    <row r="52" spans="1:18" s="1" customFormat="1" x14ac:dyDescent="0.2">
      <c r="A52" s="24" t="s">
        <v>58</v>
      </c>
      <c r="B52" s="93"/>
      <c r="C52" s="93">
        <v>0</v>
      </c>
      <c r="D52" s="93">
        <v>0</v>
      </c>
      <c r="E52" s="93">
        <v>0</v>
      </c>
      <c r="F52" s="93">
        <v>0</v>
      </c>
      <c r="G52" s="93">
        <f>IF($B$24="a",IF(G43&gt;G50,G50,G43),0)</f>
        <v>8000</v>
      </c>
      <c r="H52" s="93">
        <f>IF($B$24="a",IF(H49-H40&gt;H50,H50,H49-H40),0)</f>
        <v>17000</v>
      </c>
      <c r="I52" s="93">
        <f>IF($B$24="a",IF(I49-I40&gt;I50,I50,I49-I40),0)</f>
        <v>24000</v>
      </c>
      <c r="J52" s="93">
        <f>IF($B$24="a",IF(J49-J40&gt;J50,J50,J49-J40),0)</f>
        <v>30000</v>
      </c>
      <c r="K52" s="93">
        <f>IF($B$24="a",IF(K43&gt;K50,K50,K43),0)</f>
        <v>13000</v>
      </c>
      <c r="L52" s="93">
        <f>IF($B$24="a",IF(L49-L40&gt;L50,L50,L49-L40),0)</f>
        <v>22000</v>
      </c>
      <c r="M52" s="93">
        <f>IF($B$24="a",IF(M49-M40&gt;M50,M50,M49-M40),0)</f>
        <v>29000</v>
      </c>
      <c r="N52" s="93">
        <f>IF($B$24="a",IF(N49-N40&gt;N50,N50,N49-N40),0)</f>
        <v>30000</v>
      </c>
    </row>
    <row r="53" spans="1:18" x14ac:dyDescent="0.2">
      <c r="A53" s="24" t="s">
        <v>59</v>
      </c>
      <c r="B53" s="93"/>
      <c r="C53" s="93">
        <v>0</v>
      </c>
      <c r="D53" s="93">
        <v>0</v>
      </c>
      <c r="E53" s="93">
        <v>0</v>
      </c>
      <c r="F53" s="93">
        <v>0</v>
      </c>
      <c r="G53" s="93">
        <f>G52*G51</f>
        <v>4800</v>
      </c>
      <c r="H53" s="93">
        <f t="shared" ref="H53:N53" si="15">H52*H51</f>
        <v>10200</v>
      </c>
      <c r="I53" s="93">
        <f t="shared" si="15"/>
        <v>16800</v>
      </c>
      <c r="J53" s="93">
        <f t="shared" si="15"/>
        <v>21000</v>
      </c>
      <c r="K53" s="93">
        <f t="shared" si="15"/>
        <v>7800</v>
      </c>
      <c r="L53" s="93">
        <f t="shared" si="15"/>
        <v>13200</v>
      </c>
      <c r="M53" s="93">
        <f t="shared" si="15"/>
        <v>20300</v>
      </c>
      <c r="N53" s="93">
        <f t="shared" si="15"/>
        <v>21000</v>
      </c>
      <c r="O53" s="1"/>
      <c r="P53" s="1"/>
      <c r="Q53" s="1"/>
      <c r="R53" s="1"/>
    </row>
    <row r="54" spans="1:18" x14ac:dyDescent="0.2">
      <c r="A54" s="24" t="s">
        <v>61</v>
      </c>
      <c r="B54" s="93"/>
      <c r="C54" s="93">
        <v>0</v>
      </c>
      <c r="D54" s="93">
        <v>0</v>
      </c>
      <c r="E54" s="93">
        <v>0</v>
      </c>
      <c r="F54" s="93">
        <v>0</v>
      </c>
      <c r="G54" s="93">
        <f>IF( G34&lt;=2,2400*G34,0)</f>
        <v>0</v>
      </c>
      <c r="H54" s="93">
        <f t="shared" ref="H54:J54" si="16">IF( H34&lt;=2,2400*H34,0)</f>
        <v>0</v>
      </c>
      <c r="I54" s="93">
        <f t="shared" si="16"/>
        <v>0</v>
      </c>
      <c r="J54" s="93">
        <f t="shared" si="16"/>
        <v>0</v>
      </c>
      <c r="K54" s="93">
        <f>IF(B24="a",0,IF( K34&lt;=2,2400*K34,0))</f>
        <v>0</v>
      </c>
      <c r="L54" s="93">
        <f t="shared" ref="L54:N54" si="17">IF(C24="a",0,IF( L34&lt;=2,2400*L34,0))</f>
        <v>0</v>
      </c>
      <c r="M54" s="93">
        <f t="shared" si="17"/>
        <v>0</v>
      </c>
      <c r="N54" s="93">
        <f t="shared" si="17"/>
        <v>0</v>
      </c>
    </row>
    <row r="55" spans="1:18" x14ac:dyDescent="0.2">
      <c r="A55" s="24" t="s">
        <v>62</v>
      </c>
      <c r="B55" s="93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</row>
    <row r="56" spans="1:18" x14ac:dyDescent="0.2">
      <c r="A56" s="35" t="s">
        <v>3</v>
      </c>
      <c r="B56" s="79">
        <f>B53+B54+B55</f>
        <v>0</v>
      </c>
      <c r="C56" s="79">
        <f t="shared" ref="C56:F56" si="18">C53+C54+C55</f>
        <v>0</v>
      </c>
      <c r="D56" s="79">
        <f t="shared" si="18"/>
        <v>0</v>
      </c>
      <c r="E56" s="79">
        <f t="shared" si="18"/>
        <v>0</v>
      </c>
      <c r="F56" s="79">
        <f t="shared" si="18"/>
        <v>0</v>
      </c>
      <c r="G56" s="79">
        <f t="shared" ref="G56:K56" si="19">G53+G54+G55</f>
        <v>4800</v>
      </c>
      <c r="H56" s="79">
        <f t="shared" ref="H56:J56" si="20">H53+H54+H55</f>
        <v>10200</v>
      </c>
      <c r="I56" s="79">
        <f t="shared" si="20"/>
        <v>16800</v>
      </c>
      <c r="J56" s="79">
        <f t="shared" si="20"/>
        <v>21000</v>
      </c>
      <c r="K56" s="79">
        <f t="shared" si="19"/>
        <v>7800</v>
      </c>
      <c r="L56" s="79">
        <f t="shared" ref="L56:N56" si="21">L53+L54+L55</f>
        <v>13200</v>
      </c>
      <c r="M56" s="79">
        <f t="shared" si="21"/>
        <v>20300</v>
      </c>
      <c r="N56" s="79">
        <f t="shared" si="21"/>
        <v>21000</v>
      </c>
    </row>
    <row r="57" spans="1:18" x14ac:dyDescent="0.2">
      <c r="A57" s="21" t="s">
        <v>11</v>
      </c>
      <c r="B57" s="23">
        <f t="shared" ref="B57:F57" si="22">B49-B56</f>
        <v>0</v>
      </c>
      <c r="C57" s="23">
        <f t="shared" si="22"/>
        <v>2000</v>
      </c>
      <c r="D57" s="23">
        <f t="shared" si="22"/>
        <v>5000</v>
      </c>
      <c r="E57" s="23">
        <f t="shared" si="22"/>
        <v>8670</v>
      </c>
      <c r="F57" s="23">
        <f t="shared" si="22"/>
        <v>21670</v>
      </c>
      <c r="G57" s="23">
        <f t="shared" ref="G57:K57" si="23">G49-G56</f>
        <v>3200</v>
      </c>
      <c r="H57" s="23">
        <f t="shared" ref="H57:J57" si="24">H49-H56</f>
        <v>800</v>
      </c>
      <c r="I57" s="23">
        <f t="shared" si="24"/>
        <v>-2130</v>
      </c>
      <c r="J57" s="23">
        <f t="shared" si="24"/>
        <v>6670</v>
      </c>
      <c r="K57" s="23">
        <f t="shared" si="23"/>
        <v>5200</v>
      </c>
      <c r="L57" s="23">
        <f t="shared" ref="L57:N57" si="25">L49-L56</f>
        <v>2800</v>
      </c>
      <c r="M57" s="23">
        <f t="shared" si="25"/>
        <v>-630</v>
      </c>
      <c r="N57" s="23">
        <f t="shared" si="25"/>
        <v>11670</v>
      </c>
    </row>
    <row r="58" spans="1:18" x14ac:dyDescent="0.2">
      <c r="A58" s="29" t="s">
        <v>43</v>
      </c>
      <c r="B58" s="30">
        <v>0</v>
      </c>
      <c r="C58" s="93">
        <f t="shared" ref="C58:F58" si="26">C57-$B$57</f>
        <v>2000</v>
      </c>
      <c r="D58" s="93">
        <f t="shared" si="26"/>
        <v>5000</v>
      </c>
      <c r="E58" s="93">
        <f t="shared" si="26"/>
        <v>8670</v>
      </c>
      <c r="F58" s="93">
        <f t="shared" si="26"/>
        <v>21670</v>
      </c>
      <c r="G58" s="93">
        <f>G57-$B$57</f>
        <v>3200</v>
      </c>
      <c r="H58" s="93">
        <f t="shared" ref="H58:J58" si="27">H57-$B$57</f>
        <v>800</v>
      </c>
      <c r="I58" s="93">
        <f t="shared" si="27"/>
        <v>-2130</v>
      </c>
      <c r="J58" s="93">
        <f t="shared" si="27"/>
        <v>6670</v>
      </c>
      <c r="K58" s="93">
        <f>K57-$B$57</f>
        <v>5200</v>
      </c>
      <c r="L58" s="93">
        <f t="shared" ref="L58:N58" si="28">L57-$B$57</f>
        <v>2800</v>
      </c>
      <c r="M58" s="93">
        <f t="shared" si="28"/>
        <v>-630</v>
      </c>
      <c r="N58" s="93">
        <f t="shared" si="28"/>
        <v>11670</v>
      </c>
    </row>
    <row r="59" spans="1:18" x14ac:dyDescent="0.2">
      <c r="A59" s="24" t="s">
        <v>63</v>
      </c>
      <c r="B59" s="36">
        <f>10*ROUND((B6*10.6+B7+B8*E16+B9*E17+B10-B11)*B13/10,0)</f>
        <v>17520</v>
      </c>
      <c r="C59" s="36">
        <f>B59</f>
        <v>17520</v>
      </c>
      <c r="D59" s="36">
        <f t="shared" ref="D59:F59" si="29">C59</f>
        <v>17520</v>
      </c>
      <c r="E59" s="36">
        <f t="shared" si="29"/>
        <v>17520</v>
      </c>
      <c r="F59" s="36">
        <f t="shared" si="29"/>
        <v>17520</v>
      </c>
      <c r="G59" s="36">
        <f>B59</f>
        <v>17520</v>
      </c>
      <c r="H59" s="36">
        <f t="shared" ref="H59:J60" si="30">C59</f>
        <v>17520</v>
      </c>
      <c r="I59" s="36">
        <f t="shared" si="30"/>
        <v>17520</v>
      </c>
      <c r="J59" s="36">
        <f t="shared" si="30"/>
        <v>17520</v>
      </c>
      <c r="K59" s="36">
        <f>G59</f>
        <v>17520</v>
      </c>
      <c r="L59" s="36">
        <f t="shared" ref="L59:N60" si="31">H59</f>
        <v>17520</v>
      </c>
      <c r="M59" s="36">
        <f t="shared" si="31"/>
        <v>17520</v>
      </c>
      <c r="N59" s="36">
        <f t="shared" si="31"/>
        <v>17520</v>
      </c>
    </row>
    <row r="60" spans="1:18" x14ac:dyDescent="0.2">
      <c r="A60" s="35" t="s">
        <v>64</v>
      </c>
      <c r="B60" s="36">
        <f>B11-B12</f>
        <v>1600</v>
      </c>
      <c r="C60" s="36">
        <f>B60</f>
        <v>1600</v>
      </c>
      <c r="D60" s="36">
        <f t="shared" ref="D60:F60" si="32">C60</f>
        <v>1600</v>
      </c>
      <c r="E60" s="36">
        <f t="shared" si="32"/>
        <v>1600</v>
      </c>
      <c r="F60" s="36">
        <f t="shared" si="32"/>
        <v>1600</v>
      </c>
      <c r="G60" s="36">
        <f>B60</f>
        <v>1600</v>
      </c>
      <c r="H60" s="36">
        <f t="shared" si="30"/>
        <v>1600</v>
      </c>
      <c r="I60" s="36">
        <f t="shared" si="30"/>
        <v>1600</v>
      </c>
      <c r="J60" s="36">
        <f t="shared" si="30"/>
        <v>1600</v>
      </c>
      <c r="K60" s="36">
        <f>G60</f>
        <v>1600</v>
      </c>
      <c r="L60" s="36">
        <f t="shared" si="31"/>
        <v>1600</v>
      </c>
      <c r="M60" s="36">
        <f t="shared" si="31"/>
        <v>1600</v>
      </c>
      <c r="N60" s="36">
        <f t="shared" si="31"/>
        <v>1600</v>
      </c>
    </row>
    <row r="61" spans="1:18" x14ac:dyDescent="0.2">
      <c r="A61" s="83" t="s">
        <v>105</v>
      </c>
      <c r="B61" s="36"/>
      <c r="C61" s="103">
        <v>0</v>
      </c>
      <c r="D61" s="103">
        <v>0</v>
      </c>
      <c r="E61" s="103">
        <v>0</v>
      </c>
      <c r="F61" s="103">
        <v>0</v>
      </c>
      <c r="G61" s="103">
        <f>Berechnung!B12</f>
        <v>1110</v>
      </c>
      <c r="H61" s="103">
        <f>G61</f>
        <v>1110</v>
      </c>
      <c r="I61" s="103">
        <f t="shared" ref="I61:J61" si="33">H61</f>
        <v>1110</v>
      </c>
      <c r="J61" s="103">
        <f t="shared" si="33"/>
        <v>1110</v>
      </c>
      <c r="K61" s="103">
        <f>Berechnung!$C$33</f>
        <v>5040</v>
      </c>
      <c r="L61" s="103">
        <f>K61</f>
        <v>5040</v>
      </c>
      <c r="M61" s="103">
        <f t="shared" ref="M61:N61" si="34">L61</f>
        <v>5040</v>
      </c>
      <c r="N61" s="103">
        <f t="shared" si="34"/>
        <v>5040</v>
      </c>
    </row>
    <row r="62" spans="1:18" x14ac:dyDescent="0.2">
      <c r="A62" s="83" t="s">
        <v>151</v>
      </c>
      <c r="B62" s="36"/>
      <c r="C62" s="103">
        <f>(Berechnung!$B$6-Berechnung!$B$11)</f>
        <v>2200</v>
      </c>
      <c r="D62" s="103">
        <f>C62</f>
        <v>2200</v>
      </c>
      <c r="E62" s="103">
        <f t="shared" ref="E62:F62" si="35">D62</f>
        <v>2200</v>
      </c>
      <c r="F62" s="103">
        <f t="shared" si="35"/>
        <v>2200</v>
      </c>
      <c r="G62" s="103">
        <f>Berechnung!$B$13</f>
        <v>3310</v>
      </c>
      <c r="H62" s="103">
        <f>G62</f>
        <v>3310</v>
      </c>
      <c r="I62" s="103">
        <f t="shared" ref="I62:J62" si="36">H62</f>
        <v>3310</v>
      </c>
      <c r="J62" s="103">
        <f t="shared" si="36"/>
        <v>3310</v>
      </c>
      <c r="K62" s="103">
        <f>Berechnung!$C$34</f>
        <v>7240</v>
      </c>
      <c r="L62" s="103">
        <f>K62</f>
        <v>7240</v>
      </c>
      <c r="M62" s="103">
        <f t="shared" ref="M62:N62" si="37">L62</f>
        <v>7240</v>
      </c>
      <c r="N62" s="103">
        <f t="shared" si="37"/>
        <v>7240</v>
      </c>
    </row>
    <row r="63" spans="1:18" x14ac:dyDescent="0.2">
      <c r="A63" s="83" t="s">
        <v>101</v>
      </c>
      <c r="B63" s="36"/>
      <c r="C63" s="103">
        <f>IF($B$6&gt;0,10*ROUND((10.6*$B$6-Berechnung!$B$68*10.6*$B$6/($B$69-$B$68))/10,0),0)</f>
        <v>16500</v>
      </c>
      <c r="D63" s="103">
        <f>IF($B$6&gt;0,10*ROUND((10.6*$B$6-Berechnung!$E$68*10.6*$B$6/($B$69-$B$68))/10,0),0)</f>
        <v>16500</v>
      </c>
      <c r="E63" s="103">
        <v>0</v>
      </c>
      <c r="F63" s="103">
        <v>0</v>
      </c>
      <c r="G63" s="103">
        <f>IF($B$6&gt;0,10*ROUND((10.6*$B$6-Berechnung!$B$68*10.6*$B$6/($B$69-$B$68))/10,0),0)</f>
        <v>16500</v>
      </c>
      <c r="H63" s="103">
        <f>IF($B$6&gt;0,10*ROUND((10.6*$B$6-Berechnung!$E$68*10.6*$B$6/($B$69-$B$68))/10,0),0)</f>
        <v>16500</v>
      </c>
      <c r="I63" s="103">
        <v>0</v>
      </c>
      <c r="J63" s="103">
        <v>0</v>
      </c>
      <c r="K63" s="103">
        <f>IF($B$6&gt;0,10*ROUND((10.6*$B$6-Berechnung!$B$68*10.6*$B$6/($B$69-$B$68))/10,0),0)</f>
        <v>16500</v>
      </c>
      <c r="L63" s="103">
        <f>IF($B$6&gt;0,10*ROUND((10.6*$B$6-Berechnung!$E$68*10.6*$B$6/($B$69-$B$68))/10,0),0)</f>
        <v>16500</v>
      </c>
      <c r="M63" s="103">
        <v>0</v>
      </c>
      <c r="N63" s="103">
        <v>0</v>
      </c>
    </row>
    <row r="64" spans="1:18" x14ac:dyDescent="0.2">
      <c r="A64" s="37" t="s">
        <v>76</v>
      </c>
      <c r="B64" s="36"/>
      <c r="C64" s="103">
        <f>IF($B$7&gt;0,10*ROUND(($B$7-(Berechnung!$B$68)*$B$7/($B$69-$B$68))/10,0),0)</f>
        <v>0</v>
      </c>
      <c r="D64" s="103">
        <f>IF($B$7&gt;0,10*ROUND(($B$7-(Berechnung!$E$68)*$B$7/($B$69-$B$68))/10,0),0)</f>
        <v>0</v>
      </c>
      <c r="E64" s="103">
        <v>0</v>
      </c>
      <c r="F64" s="103">
        <v>0</v>
      </c>
      <c r="G64" s="103">
        <f>IF($B$7&gt;0,10*ROUND(($B$7-Berechnung!$B$68*$B$7/($B$69-$B$68))/10,0),0)</f>
        <v>0</v>
      </c>
      <c r="H64" s="103">
        <f>IF($B$7&gt;0,10*ROUND(($B$7-Berechnung!$E$68*$B$7/($B$69-$B$68))/10,0),0)</f>
        <v>0</v>
      </c>
      <c r="I64" s="103">
        <v>0</v>
      </c>
      <c r="J64" s="103">
        <v>0</v>
      </c>
      <c r="K64" s="103">
        <f>IF($B$7&gt;0,10*ROUND(($B$7-Berechnung!$B$68*$B$7/($B$69-$B$68))/10,0),0)</f>
        <v>0</v>
      </c>
      <c r="L64" s="103">
        <f>IF($B$7&gt;0,10*ROUND(($B$7-Berechnung!$E$68*$B$7/($B$69-$B$68))/10,0),0)</f>
        <v>0</v>
      </c>
      <c r="M64" s="103">
        <v>0</v>
      </c>
      <c r="N64" s="103">
        <v>0</v>
      </c>
    </row>
    <row r="65" spans="1:15" x14ac:dyDescent="0.2">
      <c r="A65" s="37" t="s">
        <v>102</v>
      </c>
      <c r="B65" s="36"/>
      <c r="C65" s="103">
        <f>IF($B$8&gt;0,10*ROUND(($E$16*$B$8-Berechnung!$B$68*$E$16*$B$8/($B$69-$B$68))/10,0),0)+Berechnung!$B$69</f>
        <v>12660</v>
      </c>
      <c r="D65" s="103">
        <f>IF($B$8&gt;0,10*ROUND(($E$16*$B$8-Berechnung!$E$68*$E$16*$B$8/($B$69-$B$68))/10,0),0)</f>
        <v>0</v>
      </c>
      <c r="E65" s="103">
        <f>Berechnung!$B$75</f>
        <v>24570</v>
      </c>
      <c r="F65" s="103">
        <v>0</v>
      </c>
      <c r="G65" s="103">
        <f>IF($B$8&gt;0,10*ROUND(($E$16*$B$8-Berechnung!$B$68*$E$16*$B$8/($B$69-$B$68))/10,0),0)+Berechnung!$B$69-G61/G37</f>
        <v>11254.93670886076</v>
      </c>
      <c r="H65" s="103">
        <f>IF($B$8&gt;0,10*ROUND(($E$16*$B$8-Berechnung!$E$68*$E$16*$B$8/($B$69-$B$68))/10,0),0)</f>
        <v>0</v>
      </c>
      <c r="I65" s="103">
        <f>10*ROUND((Berechnung!$B$75-I61/I37)/10,0)</f>
        <v>23200</v>
      </c>
      <c r="J65" s="103">
        <v>0</v>
      </c>
      <c r="K65" s="103">
        <f>IF($B$8&gt;0,10*ROUND(($E$16*$B$8-Berechnung!$B$68*$E$16*$B$8/($B$69-$B$68))/10,0),0)+Berechnung!$B$69-K61/K37</f>
        <v>6280.2531645569625</v>
      </c>
      <c r="L65" s="103">
        <f>IF($B$8&gt;0,10*ROUND(($E$16*$B$8-Berechnung!$E$68*$E$16*$B$8/($B$69-$B$68))/10,0),0)</f>
        <v>0</v>
      </c>
      <c r="M65" s="103">
        <f>10*ROUND((Berechnung!$B$75-M61/M37)/10,0)</f>
        <v>18350</v>
      </c>
      <c r="N65" s="103">
        <v>0</v>
      </c>
    </row>
    <row r="66" spans="1:15" x14ac:dyDescent="0.2">
      <c r="A66" s="37" t="s">
        <v>103</v>
      </c>
      <c r="B66" s="36"/>
      <c r="C66" s="103">
        <f>IF($B$9&gt;0,10*ROUND(($E$17*$B$9-Berechnung!$B$68*$E$17*$B$9/($B$69-$B$68))/10,0),0)</f>
        <v>0</v>
      </c>
      <c r="D66" s="103">
        <f>IF($B$9&gt;0,10*ROUND(($E$17*$B$9-Berechnung!$B$68*$E$17*$B$9/($B$69-$B$68))/10,0),0)+Berechnung!$E$69</f>
        <v>11900</v>
      </c>
      <c r="E66" s="103">
        <v>0</v>
      </c>
      <c r="F66" s="103">
        <f>Berechnung!E75</f>
        <v>23690</v>
      </c>
      <c r="G66" s="103">
        <f>IF($B$9&gt;0,10*ROUND(($E$17*$B$9-Berechnung!$B$68*$E$17*$B$9/($B$69-$B$68))/10,0),0)</f>
        <v>0</v>
      </c>
      <c r="H66" s="103">
        <f>IF($B$9&gt;0,10*ROUND(($E$17*$B$9-Berechnung!$B$68*$E$17*$B$9/($B$69-$B$68))/10,0),0)+Berechnung!$E$69-H61/H37</f>
        <v>10578.571428571428</v>
      </c>
      <c r="I66" s="103">
        <v>0</v>
      </c>
      <c r="J66" s="103">
        <f>10*ROUND((Berechnung!$E$75-J61/J37)/10,0)</f>
        <v>22370</v>
      </c>
      <c r="K66" s="103">
        <f>IF($B$9&gt;0,10*ROUND(($E$17*$B$9-Berechnung!$B$68*$E$17*$B$9/($B$69-$B$68))/10,0),0)</f>
        <v>0</v>
      </c>
      <c r="L66" s="103">
        <f>IF($B$9&gt;0,10*ROUND(($E$17*$B$9-Berechnung!$B$68*$E$17*$B$9/($B$69-$B$68))/10,0),0)+Berechnung!$E$69-L61/L37</f>
        <v>5900</v>
      </c>
      <c r="M66" s="103">
        <v>0</v>
      </c>
      <c r="N66" s="103">
        <f>10*ROUND((Berechnung!$E$75-N61/N37)/10,0)</f>
        <v>17690</v>
      </c>
    </row>
    <row r="67" spans="1:15" x14ac:dyDescent="0.2">
      <c r="A67" s="37" t="s">
        <v>104</v>
      </c>
      <c r="B67" s="36"/>
      <c r="C67" s="103">
        <f>IF($B$10&gt;0,10*ROUND(($B$10-Berechnung!$B$68*$B$10/($B$69-$B$68))/10,0),0)</f>
        <v>0</v>
      </c>
      <c r="D67" s="103">
        <f>IF($B$10&gt;0,10*ROUND(($B$10-Berechnung!$B$68*$B$10/($B$69-$B$68))/10,0),0)</f>
        <v>0</v>
      </c>
      <c r="E67" s="103">
        <v>0</v>
      </c>
      <c r="F67" s="103">
        <v>0</v>
      </c>
      <c r="G67" s="103">
        <f>IF($B$10&gt;0,10*ROUND(($B$10-Berechnung!$B$68*$B$10/($B$69-$B$68))/10,0),0)</f>
        <v>0</v>
      </c>
      <c r="H67" s="103">
        <f>IF($B$10&gt;0,10*ROUND(($B$10-Berechnung!$B$68*$B$10/($B$69-$B$68))/10,0),0)</f>
        <v>0</v>
      </c>
      <c r="I67" s="103">
        <v>0</v>
      </c>
      <c r="J67" s="103">
        <v>0</v>
      </c>
      <c r="K67" s="103">
        <f>IF($B$10&gt;0,10*ROUND(($B$10-Berechnung!$B$68*$B$10/($B$69-$B$68))/10,0),0)</f>
        <v>0</v>
      </c>
      <c r="L67" s="103">
        <f>IF($B$10&gt;0,10*ROUND(($B$10-Berechnung!$B$68*$B$10/($B$69-$B$68))/10,0),0)</f>
        <v>0</v>
      </c>
      <c r="M67" s="103">
        <v>0</v>
      </c>
      <c r="N67" s="103">
        <v>0</v>
      </c>
    </row>
    <row r="68" spans="1:15" x14ac:dyDescent="0.2">
      <c r="A68" s="37" t="s">
        <v>42</v>
      </c>
      <c r="B68" s="38">
        <f>B23</f>
        <v>4000</v>
      </c>
      <c r="C68" s="38">
        <f>B68</f>
        <v>4000</v>
      </c>
      <c r="D68" s="38">
        <f t="shared" ref="D68:H68" si="38">C68</f>
        <v>4000</v>
      </c>
      <c r="E68" s="38">
        <f t="shared" si="38"/>
        <v>4000</v>
      </c>
      <c r="F68" s="38">
        <f t="shared" si="38"/>
        <v>4000</v>
      </c>
      <c r="G68" s="38">
        <f>F68</f>
        <v>4000</v>
      </c>
      <c r="H68" s="38">
        <f t="shared" si="38"/>
        <v>4000</v>
      </c>
      <c r="I68" s="38">
        <f t="shared" ref="I68" si="39">H68</f>
        <v>4000</v>
      </c>
      <c r="J68" s="38">
        <f t="shared" ref="J68" si="40">I68</f>
        <v>4000</v>
      </c>
      <c r="K68" s="38">
        <f>J68</f>
        <v>4000</v>
      </c>
      <c r="L68" s="38">
        <f t="shared" ref="L68:N68" si="41">K68</f>
        <v>4000</v>
      </c>
      <c r="M68" s="38">
        <f t="shared" si="41"/>
        <v>4000</v>
      </c>
      <c r="N68" s="38">
        <f t="shared" si="41"/>
        <v>4000</v>
      </c>
      <c r="O68" s="3"/>
    </row>
    <row r="69" spans="1:15" x14ac:dyDescent="0.2">
      <c r="A69" s="37" t="s">
        <v>16</v>
      </c>
      <c r="B69" s="38">
        <f>10*ROUND((B6*10.6+B7+B8*$E$16+B9*$E$17+B10+B68)/10,0)</f>
        <v>30500</v>
      </c>
      <c r="C69" s="38">
        <f t="shared" ref="C69:N69" si="42">10*ROUND(SUM(C63:C68)/10,0)</f>
        <v>33160</v>
      </c>
      <c r="D69" s="38">
        <f t="shared" si="42"/>
        <v>32400</v>
      </c>
      <c r="E69" s="38">
        <f t="shared" si="42"/>
        <v>28570</v>
      </c>
      <c r="F69" s="38">
        <f t="shared" si="42"/>
        <v>27690</v>
      </c>
      <c r="G69" s="38">
        <f t="shared" si="42"/>
        <v>31750</v>
      </c>
      <c r="H69" s="38">
        <f t="shared" si="42"/>
        <v>31080</v>
      </c>
      <c r="I69" s="38">
        <f t="shared" si="42"/>
        <v>27200</v>
      </c>
      <c r="J69" s="38">
        <f t="shared" si="42"/>
        <v>26370</v>
      </c>
      <c r="K69" s="38">
        <f t="shared" si="42"/>
        <v>26780</v>
      </c>
      <c r="L69" s="38">
        <f t="shared" si="42"/>
        <v>26400</v>
      </c>
      <c r="M69" s="38">
        <f t="shared" si="42"/>
        <v>22350</v>
      </c>
      <c r="N69" s="38">
        <f t="shared" si="42"/>
        <v>21690</v>
      </c>
    </row>
    <row r="70" spans="1:15" x14ac:dyDescent="0.2">
      <c r="A70" s="37" t="s">
        <v>39</v>
      </c>
      <c r="B70" s="39">
        <f>10*ROUND((B6*$B$14+B7*$B$15/100+B8*$B$16+B9*$B$17+B10*$B$19/100+B68*$B$18/100)/10,0)</f>
        <v>5100</v>
      </c>
      <c r="C70" s="39">
        <f t="shared" ref="C70:N70" si="43">10*ROUND((C63*$B$14/10.6+C64*$B$15/100+C65*$G$16/100+C66*$G$17/100+C67*$B$19/100+C68*$B$18/100)/10,0)</f>
        <v>4450</v>
      </c>
      <c r="D70" s="39">
        <f t="shared" si="43"/>
        <v>4660</v>
      </c>
      <c r="E70" s="39">
        <f t="shared" si="43"/>
        <v>2910</v>
      </c>
      <c r="F70" s="39">
        <f t="shared" si="43"/>
        <v>3350</v>
      </c>
      <c r="G70" s="39">
        <f t="shared" si="43"/>
        <v>4380</v>
      </c>
      <c r="H70" s="39">
        <f t="shared" si="43"/>
        <v>4560</v>
      </c>
      <c r="I70" s="39">
        <f t="shared" si="43"/>
        <v>2830</v>
      </c>
      <c r="J70" s="39">
        <f t="shared" si="43"/>
        <v>3260</v>
      </c>
      <c r="K70" s="39">
        <f t="shared" si="43"/>
        <v>4110</v>
      </c>
      <c r="L70" s="39">
        <f t="shared" si="43"/>
        <v>4220</v>
      </c>
      <c r="M70" s="39">
        <f t="shared" si="43"/>
        <v>2580</v>
      </c>
      <c r="N70" s="39">
        <f t="shared" si="43"/>
        <v>2910</v>
      </c>
    </row>
    <row r="71" spans="1:15" x14ac:dyDescent="0.2">
      <c r="A71" s="21" t="s">
        <v>40</v>
      </c>
      <c r="B71" s="78">
        <v>200</v>
      </c>
      <c r="C71" s="39">
        <f>10*ROUND($B$21*C49/1000,0)+$B$71</f>
        <v>210</v>
      </c>
      <c r="D71" s="39">
        <f t="shared" ref="D71" si="44">10*ROUND($B$21*D49/1000,0)+$B$71</f>
        <v>230</v>
      </c>
      <c r="E71" s="39">
        <f>10*ROUND(2*$B$21*E49/1000,0)</f>
        <v>90</v>
      </c>
      <c r="F71" s="39">
        <f>10*ROUND(2*$B$21*F49/1000,0)</f>
        <v>220</v>
      </c>
      <c r="G71" s="39">
        <f>10*ROUND($B$21*G49/1000,0)+$B$71</f>
        <v>240</v>
      </c>
      <c r="H71" s="39">
        <f t="shared" ref="H71" si="45">10*ROUND($B$21*H49/1000,0)+$B$71</f>
        <v>260</v>
      </c>
      <c r="I71" s="39">
        <f>10*ROUND(2*$B$21*I49/1000,0)</f>
        <v>150</v>
      </c>
      <c r="J71" s="39">
        <f>10*ROUND(2*$B$21*J49/1000,0)</f>
        <v>280</v>
      </c>
      <c r="K71" s="39">
        <f>10*ROUND($B$21*K49/1000,0)+$B$71</f>
        <v>270</v>
      </c>
      <c r="L71" s="39">
        <f t="shared" ref="L71" si="46">10*ROUND($B$21*L49/1000,0)+$B$71</f>
        <v>280</v>
      </c>
      <c r="M71" s="39">
        <f>10*ROUND(2*$B$21*M49/1000,0)</f>
        <v>200</v>
      </c>
      <c r="N71" s="39">
        <f>10*ROUND(2*$B$21*N49/1000,0)</f>
        <v>330</v>
      </c>
    </row>
    <row r="72" spans="1:15" x14ac:dyDescent="0.2">
      <c r="A72" s="21" t="s">
        <v>161</v>
      </c>
      <c r="B72" s="39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</row>
    <row r="73" spans="1:15" x14ac:dyDescent="0.2">
      <c r="A73" s="40" t="s">
        <v>41</v>
      </c>
      <c r="B73" s="41">
        <f>B70+B71</f>
        <v>5300</v>
      </c>
      <c r="C73" s="41">
        <f>C70+C71+C72</f>
        <v>4660</v>
      </c>
      <c r="D73" s="41">
        <f t="shared" ref="D73:N73" si="47">D70+D71+D72</f>
        <v>4890</v>
      </c>
      <c r="E73" s="41">
        <f t="shared" si="47"/>
        <v>3000</v>
      </c>
      <c r="F73" s="41">
        <f t="shared" si="47"/>
        <v>3570</v>
      </c>
      <c r="G73" s="41">
        <f t="shared" si="47"/>
        <v>4620</v>
      </c>
      <c r="H73" s="41">
        <f t="shared" si="47"/>
        <v>4820</v>
      </c>
      <c r="I73" s="41">
        <f t="shared" ref="I73" si="48">I70+I71+I72</f>
        <v>2980</v>
      </c>
      <c r="J73" s="41">
        <f t="shared" ref="J73" si="49">J70+J71+J72</f>
        <v>3540</v>
      </c>
      <c r="K73" s="41">
        <f t="shared" si="47"/>
        <v>4380</v>
      </c>
      <c r="L73" s="41">
        <f t="shared" si="47"/>
        <v>4500</v>
      </c>
      <c r="M73" s="41">
        <f t="shared" si="47"/>
        <v>2780</v>
      </c>
      <c r="N73" s="41">
        <f t="shared" si="47"/>
        <v>3240</v>
      </c>
    </row>
    <row r="74" spans="1:15" x14ac:dyDescent="0.2">
      <c r="A74" s="29" t="s">
        <v>2</v>
      </c>
      <c r="B74" s="42">
        <v>0</v>
      </c>
      <c r="C74" s="42">
        <f t="shared" ref="C74:N74" si="50">-C58-20*(C73-$B$73)</f>
        <v>10800</v>
      </c>
      <c r="D74" s="42">
        <f t="shared" si="50"/>
        <v>3200</v>
      </c>
      <c r="E74" s="42">
        <f t="shared" si="50"/>
        <v>37330</v>
      </c>
      <c r="F74" s="42">
        <f t="shared" si="50"/>
        <v>12930</v>
      </c>
      <c r="G74" s="42">
        <f t="shared" si="50"/>
        <v>10400</v>
      </c>
      <c r="H74" s="42">
        <f t="shared" si="50"/>
        <v>8800</v>
      </c>
      <c r="I74" s="42">
        <f t="shared" si="50"/>
        <v>48530</v>
      </c>
      <c r="J74" s="42">
        <f t="shared" si="50"/>
        <v>28530</v>
      </c>
      <c r="K74" s="42">
        <f t="shared" si="50"/>
        <v>13200</v>
      </c>
      <c r="L74" s="42">
        <f t="shared" si="50"/>
        <v>13200</v>
      </c>
      <c r="M74" s="42">
        <f t="shared" si="50"/>
        <v>51030</v>
      </c>
      <c r="N74" s="42">
        <f t="shared" si="50"/>
        <v>29530</v>
      </c>
    </row>
    <row r="75" spans="1:15" x14ac:dyDescent="0.2">
      <c r="A75" s="29" t="s">
        <v>14</v>
      </c>
      <c r="B75" s="81"/>
      <c r="C75" s="44">
        <f t="shared" ref="C75:N75" si="51">IF((($B$73-C73)=0),IF((C58&lt;=0),"sofort","nie"),IF((C58/($B$73-C73)&lt;=0),IF((C58&lt;=0),"sofort","nie"),C58/($B$73-C73)))</f>
        <v>3.125</v>
      </c>
      <c r="D75" s="44">
        <f t="shared" si="51"/>
        <v>12.195121951219512</v>
      </c>
      <c r="E75" s="44">
        <f t="shared" si="51"/>
        <v>3.7695652173913046</v>
      </c>
      <c r="F75" s="44">
        <f t="shared" si="51"/>
        <v>12.526011560693641</v>
      </c>
      <c r="G75" s="44">
        <f t="shared" si="51"/>
        <v>4.7058823529411766</v>
      </c>
      <c r="H75" s="44">
        <f t="shared" si="51"/>
        <v>1.6666666666666667</v>
      </c>
      <c r="I75" s="44" t="str">
        <f t="shared" si="51"/>
        <v>sofort</v>
      </c>
      <c r="J75" s="44">
        <f t="shared" si="51"/>
        <v>3.7897727272727271</v>
      </c>
      <c r="K75" s="44">
        <f t="shared" si="51"/>
        <v>5.6521739130434785</v>
      </c>
      <c r="L75" s="44">
        <f t="shared" si="51"/>
        <v>3.5</v>
      </c>
      <c r="M75" s="44" t="str">
        <f t="shared" si="51"/>
        <v>sofort</v>
      </c>
      <c r="N75" s="44">
        <f t="shared" si="51"/>
        <v>5.6650485436893208</v>
      </c>
    </row>
    <row r="76" spans="1:15" x14ac:dyDescent="0.2">
      <c r="A76" s="29" t="s">
        <v>15</v>
      </c>
      <c r="B76" s="45">
        <f>ROUND((B6*10.6*$K$12+B7*$K$13+B8*$E$16*$K$15+B9*$E$17*$K$16+B10*$K$14+B68*$K$14)/1000,1)</f>
        <v>10.5</v>
      </c>
      <c r="C76" s="45">
        <f t="shared" ref="C76:N76" si="52">ROUND((C63*$K$12+C64*$K$13+C65*$K$15+C66*$K$16+C67*$K$14+C68*$K$14)/1000,1)</f>
        <v>7.6</v>
      </c>
      <c r="D76" s="45">
        <f t="shared" si="52"/>
        <v>7.8</v>
      </c>
      <c r="E76" s="45">
        <f t="shared" si="52"/>
        <v>2.7</v>
      </c>
      <c r="F76" s="45">
        <f t="shared" si="52"/>
        <v>3.2</v>
      </c>
      <c r="G76" s="45">
        <f t="shared" si="52"/>
        <v>7.6</v>
      </c>
      <c r="H76" s="45">
        <f t="shared" si="52"/>
        <v>7.8</v>
      </c>
      <c r="I76" s="45">
        <f t="shared" si="52"/>
        <v>2.7</v>
      </c>
      <c r="J76" s="45">
        <f t="shared" si="52"/>
        <v>3.2</v>
      </c>
      <c r="K76" s="45">
        <f t="shared" si="52"/>
        <v>7.5</v>
      </c>
      <c r="L76" s="45">
        <f t="shared" si="52"/>
        <v>7.6</v>
      </c>
      <c r="M76" s="45">
        <f t="shared" si="52"/>
        <v>2.6</v>
      </c>
      <c r="N76" s="45">
        <f t="shared" si="52"/>
        <v>3</v>
      </c>
    </row>
    <row r="77" spans="1:15" x14ac:dyDescent="0.2">
      <c r="A77" s="29" t="s">
        <v>160</v>
      </c>
      <c r="B77" s="46">
        <v>0</v>
      </c>
      <c r="C77" s="119">
        <f>ROUND(100*($B$69-C69+Berechnung!$B$69)/($B$69-$B$68),1)/100</f>
        <v>0.377</v>
      </c>
      <c r="D77" s="119">
        <v>0</v>
      </c>
      <c r="E77" s="119">
        <f>ROUND(100*($B$69-E69+Berechnung!$B$75)/($B$69-$B$68),1)/100</f>
        <v>1</v>
      </c>
      <c r="F77" s="119">
        <v>0</v>
      </c>
      <c r="G77" s="119">
        <f>ROUND(100*($B$69-G69+G65)/($B$69-$B$68),1)/100</f>
        <v>0.37799999999999995</v>
      </c>
      <c r="H77" s="119">
        <f>H78</f>
        <v>0.109</v>
      </c>
      <c r="I77" s="119">
        <f>ROUND(100*($B$69-I69+I65)/($B$69-$B$68),1)/100</f>
        <v>1</v>
      </c>
      <c r="J77" s="119">
        <f>J78</f>
        <v>0.109</v>
      </c>
      <c r="K77" s="119">
        <f>ROUND(100*($B$69-K69+K65)/($B$69-$B$68),1)/100</f>
        <v>0.377</v>
      </c>
      <c r="L77" s="119">
        <f>L78</f>
        <v>0.23699999999999999</v>
      </c>
      <c r="M77" s="119">
        <f>ROUND(100*($B$69-M69+M65)/($B$69-$B$68),1)/100</f>
        <v>1</v>
      </c>
      <c r="N77" s="119">
        <f>N78</f>
        <v>0.23699999999999999</v>
      </c>
      <c r="O77" s="4"/>
    </row>
    <row r="78" spans="1:15" x14ac:dyDescent="0.2">
      <c r="A78" s="29" t="s">
        <v>162</v>
      </c>
      <c r="B78" s="119">
        <v>0</v>
      </c>
      <c r="C78" s="119">
        <f>ROUND(100*($B$69-C69+Berechnung!$B$69)/($B$69),1)/100</f>
        <v>0.32799999999999996</v>
      </c>
      <c r="D78" s="119">
        <v>0</v>
      </c>
      <c r="E78" s="119">
        <f>ROUND(100*($B$69-E69+Berechnung!$B$75)/($B$69),1)/100</f>
        <v>0.86900000000000011</v>
      </c>
      <c r="F78" s="119">
        <v>0</v>
      </c>
      <c r="G78" s="119">
        <f>ROUND(100*($B$69-G69+G65)/($B$69),1)/100</f>
        <v>0.32799999999999996</v>
      </c>
      <c r="H78" s="119">
        <f>H79</f>
        <v>0.109</v>
      </c>
      <c r="I78" s="119">
        <f>ROUND(100*($B$69-I69+I65)/($B$69),1)/100</f>
        <v>0.86900000000000011</v>
      </c>
      <c r="J78" s="119">
        <f>J79</f>
        <v>0.109</v>
      </c>
      <c r="K78" s="119">
        <f>ROUND(100*($B$69-K69+K65)/($B$69),1)/100</f>
        <v>0.32799999999999996</v>
      </c>
      <c r="L78" s="119">
        <f>L79</f>
        <v>0.23699999999999999</v>
      </c>
      <c r="M78" s="119">
        <f>ROUND(100*($B$69-M69+M65)/($B$69),1)/100</f>
        <v>0.86900000000000011</v>
      </c>
      <c r="N78" s="119">
        <f>N79</f>
        <v>0.23699999999999999</v>
      </c>
      <c r="O78" s="4"/>
    </row>
    <row r="79" spans="1:15" x14ac:dyDescent="0.2">
      <c r="A79" s="29" t="s">
        <v>163</v>
      </c>
      <c r="B79" s="46">
        <v>0</v>
      </c>
      <c r="C79" s="119">
        <v>0</v>
      </c>
      <c r="D79" s="119">
        <v>0</v>
      </c>
      <c r="E79" s="119">
        <v>0</v>
      </c>
      <c r="F79" s="119">
        <v>0</v>
      </c>
      <c r="G79" s="119">
        <f>ROUND(100*(G62)/($B$69),1)/100</f>
        <v>0.109</v>
      </c>
      <c r="H79" s="119">
        <f t="shared" ref="H79:J79" si="53">ROUND(100*(H62)/($B$69),1)/100</f>
        <v>0.109</v>
      </c>
      <c r="I79" s="119">
        <f t="shared" si="53"/>
        <v>0.109</v>
      </c>
      <c r="J79" s="119">
        <f t="shared" si="53"/>
        <v>0.109</v>
      </c>
      <c r="K79" s="119">
        <f>ROUND(100*(K62)/($B$69),1)/100</f>
        <v>0.23699999999999999</v>
      </c>
      <c r="L79" s="119">
        <f t="shared" ref="L79:N79" si="54">ROUND(100*(L62)/($B$69),1)/100</f>
        <v>0.23699999999999999</v>
      </c>
      <c r="M79" s="119">
        <f t="shared" si="54"/>
        <v>0.23699999999999999</v>
      </c>
      <c r="N79" s="119">
        <f t="shared" si="54"/>
        <v>0.23699999999999999</v>
      </c>
      <c r="O79" s="4"/>
    </row>
    <row r="80" spans="1:15" x14ac:dyDescent="0.2">
      <c r="A80" s="143" t="s">
        <v>194</v>
      </c>
      <c r="B80" s="144">
        <f>B69/$B$22</f>
        <v>254.16666666666666</v>
      </c>
      <c r="C80" s="144">
        <f t="shared" ref="C80:N80" si="55">C69/$B$22</f>
        <v>276.33333333333331</v>
      </c>
      <c r="D80" s="144">
        <f t="shared" si="55"/>
        <v>270</v>
      </c>
      <c r="E80" s="144">
        <f t="shared" si="55"/>
        <v>238.08333333333334</v>
      </c>
      <c r="F80" s="144">
        <f t="shared" si="55"/>
        <v>230.75</v>
      </c>
      <c r="G80" s="144">
        <f t="shared" si="55"/>
        <v>264.58333333333331</v>
      </c>
      <c r="H80" s="144">
        <f t="shared" si="55"/>
        <v>259</v>
      </c>
      <c r="I80" s="144">
        <f t="shared" si="55"/>
        <v>226.66666666666666</v>
      </c>
      <c r="J80" s="144">
        <f t="shared" si="55"/>
        <v>219.75</v>
      </c>
      <c r="K80" s="144">
        <f t="shared" si="55"/>
        <v>223.16666666666666</v>
      </c>
      <c r="L80" s="144">
        <f t="shared" si="55"/>
        <v>220</v>
      </c>
      <c r="M80" s="144">
        <f t="shared" si="55"/>
        <v>186.25</v>
      </c>
      <c r="N80" s="144">
        <f t="shared" si="55"/>
        <v>180.75</v>
      </c>
      <c r="O80" s="4"/>
    </row>
    <row r="81" spans="1:16" x14ac:dyDescent="0.2">
      <c r="A81" s="1"/>
      <c r="B81" s="4"/>
      <c r="C81" s="4"/>
      <c r="D81" s="4"/>
      <c r="E81" s="4"/>
      <c r="F81" s="4"/>
      <c r="G81" s="4"/>
      <c r="H81" s="4"/>
    </row>
    <row r="82" spans="1:16" x14ac:dyDescent="0.2">
      <c r="D82" s="6"/>
      <c r="E82" s="6"/>
      <c r="F82" s="6"/>
      <c r="G82" s="6"/>
      <c r="H82" s="6"/>
      <c r="L82" s="3"/>
    </row>
    <row r="83" spans="1:16" x14ac:dyDescent="0.2">
      <c r="B83" s="58"/>
      <c r="C83" s="49" t="s">
        <v>44</v>
      </c>
      <c r="D83" s="49"/>
      <c r="E83" s="49"/>
      <c r="F83" s="59"/>
      <c r="G83" s="60" t="s">
        <v>45</v>
      </c>
      <c r="H83" s="49"/>
      <c r="I83" s="50"/>
    </row>
    <row r="84" spans="1:16" x14ac:dyDescent="0.2">
      <c r="B84" s="61"/>
      <c r="C84" t="s">
        <v>46</v>
      </c>
      <c r="F84" s="62"/>
      <c r="G84" t="s">
        <v>47</v>
      </c>
      <c r="I84" s="53"/>
    </row>
    <row r="85" spans="1:16" x14ac:dyDescent="0.2">
      <c r="B85" s="63"/>
      <c r="C85" t="s">
        <v>48</v>
      </c>
      <c r="F85" s="64"/>
      <c r="G85" t="s">
        <v>171</v>
      </c>
      <c r="I85" s="53"/>
    </row>
    <row r="86" spans="1:16" x14ac:dyDescent="0.2">
      <c r="B86" s="65"/>
      <c r="C86" s="56" t="s">
        <v>49</v>
      </c>
      <c r="D86" s="56"/>
      <c r="E86" s="56"/>
      <c r="F86" s="137"/>
      <c r="G86" s="56" t="s">
        <v>172</v>
      </c>
      <c r="H86" s="56"/>
      <c r="I86" s="57"/>
    </row>
    <row r="88" spans="1:16" x14ac:dyDescent="0.2">
      <c r="B88" s="110"/>
      <c r="C88" s="48" t="s">
        <v>57</v>
      </c>
      <c r="D88" s="49"/>
      <c r="E88" s="49"/>
      <c r="F88" s="50"/>
      <c r="P88" s="101"/>
    </row>
    <row r="89" spans="1:16" x14ac:dyDescent="0.2">
      <c r="B89" s="51" t="s">
        <v>53</v>
      </c>
      <c r="C89" s="52" t="s">
        <v>55</v>
      </c>
      <c r="F89" s="53"/>
    </row>
    <row r="90" spans="1:16" x14ac:dyDescent="0.2">
      <c r="B90" s="54" t="s">
        <v>54</v>
      </c>
      <c r="C90" s="55" t="s">
        <v>56</v>
      </c>
      <c r="D90" s="56"/>
      <c r="E90" s="56"/>
      <c r="F90" s="57"/>
    </row>
    <row r="92" spans="1:16" x14ac:dyDescent="0.2">
      <c r="B92" t="s">
        <v>195</v>
      </c>
    </row>
    <row r="94" spans="1:16" x14ac:dyDescent="0.2">
      <c r="B94" s="146" t="s">
        <v>196</v>
      </c>
      <c r="C94" s="147" t="s">
        <v>196</v>
      </c>
      <c r="D94" s="148" t="s">
        <v>197</v>
      </c>
      <c r="E94" s="149" t="s">
        <v>197</v>
      </c>
      <c r="F94" s="150" t="s">
        <v>198</v>
      </c>
    </row>
    <row r="95" spans="1:16" x14ac:dyDescent="0.2">
      <c r="B95" s="142"/>
      <c r="C95" s="147" t="s">
        <v>199</v>
      </c>
      <c r="D95" s="148"/>
      <c r="E95" s="149" t="s">
        <v>200</v>
      </c>
      <c r="F95" s="145"/>
    </row>
  </sheetData>
  <sheetProtection algorithmName="SHA-512" hashValue="Zvjk90Lv6OEY7BJucvOx5YQ03kQTLPqgyvXEuv1FdLfa+4CekWCz4cZ73ayqgNlrE5yl3X02xi8AnnOvsx8Syg==" saltValue="La2dIvbqeOlqEkcxZoohsA==" spinCount="100000" sheet="1" objects="1" scenarios="1" selectLockedCells="1"/>
  <conditionalFormatting sqref="B6:B12">
    <cfRule type="cellIs" dxfId="29" priority="137" stopIfTrue="1" operator="notBetween">
      <formula>0</formula>
      <formula>100000</formula>
    </cfRule>
  </conditionalFormatting>
  <conditionalFormatting sqref="B13">
    <cfRule type="cellIs" dxfId="28" priority="27" operator="notBetween">
      <formula>0.5</formula>
      <formula>1</formula>
    </cfRule>
  </conditionalFormatting>
  <conditionalFormatting sqref="B14">
    <cfRule type="cellIs" dxfId="27" priority="64" stopIfTrue="1" operator="notBetween">
      <formula>0</formula>
      <formula>10</formula>
    </cfRule>
  </conditionalFormatting>
  <conditionalFormatting sqref="B15">
    <cfRule type="cellIs" dxfId="26" priority="32" operator="notBetween">
      <formula>3</formula>
      <formula>100</formula>
    </cfRule>
  </conditionalFormatting>
  <conditionalFormatting sqref="B16">
    <cfRule type="cellIs" dxfId="25" priority="25" stopIfTrue="1" operator="notBetween">
      <formula>10</formula>
      <formula>1000</formula>
    </cfRule>
  </conditionalFormatting>
  <conditionalFormatting sqref="B17">
    <cfRule type="cellIs" dxfId="24" priority="24" stopIfTrue="1" operator="notBetween">
      <formula>150</formula>
      <formula>1000</formula>
    </cfRule>
  </conditionalFormatting>
  <conditionalFormatting sqref="B18:B19">
    <cfRule type="cellIs" dxfId="23" priority="97" stopIfTrue="1" operator="notBetween">
      <formula>10</formula>
      <formula>200</formula>
    </cfRule>
  </conditionalFormatting>
  <conditionalFormatting sqref="B20">
    <cfRule type="cellIs" dxfId="22" priority="2" operator="notBetween">
      <formula>500</formula>
      <formula>1500</formula>
    </cfRule>
  </conditionalFormatting>
  <conditionalFormatting sqref="B21">
    <cfRule type="cellIs" dxfId="21" priority="1" operator="notBetween">
      <formula>0</formula>
      <formula>10</formula>
    </cfRule>
  </conditionalFormatting>
  <conditionalFormatting sqref="B22">
    <cfRule type="cellIs" dxfId="0" priority="96" stopIfTrue="1" operator="notBetween">
      <formula>10</formula>
      <formula>1000</formula>
    </cfRule>
  </conditionalFormatting>
  <conditionalFormatting sqref="B23">
    <cfRule type="cellIs" dxfId="20" priority="95" stopIfTrue="1" operator="notBetween">
      <formula>1000</formula>
      <formula>10000</formula>
    </cfRule>
  </conditionalFormatting>
  <conditionalFormatting sqref="B88">
    <cfRule type="cellIs" dxfId="19" priority="30" stopIfTrue="1" operator="notBetween">
      <formula>60</formula>
      <formula>140</formula>
    </cfRule>
  </conditionalFormatting>
  <conditionalFormatting sqref="B58:N58">
    <cfRule type="cellIs" dxfId="18" priority="35" operator="lessThan">
      <formula>0</formula>
    </cfRule>
    <cfRule type="cellIs" dxfId="17" priority="36" stopIfTrue="1" operator="lessThanOrEqual">
      <formula>5000</formula>
    </cfRule>
  </conditionalFormatting>
  <conditionalFormatting sqref="B73:N73">
    <cfRule type="cellIs" dxfId="16" priority="105" operator="lessThanOrEqual">
      <formula>1500</formula>
    </cfRule>
    <cfRule type="cellIs" dxfId="15" priority="106" operator="greaterThan">
      <formula>$B$73</formula>
    </cfRule>
  </conditionalFormatting>
  <conditionalFormatting sqref="B74:N74">
    <cfRule type="cellIs" dxfId="14" priority="57" stopIfTrue="1" operator="greaterThanOrEqual">
      <formula>5000</formula>
    </cfRule>
  </conditionalFormatting>
  <conditionalFormatting sqref="B76:N76">
    <cfRule type="cellIs" dxfId="13" priority="111" operator="lessThanOrEqual">
      <formula>2</formula>
    </cfRule>
    <cfRule type="cellIs" dxfId="12" priority="112" operator="greaterThan">
      <formula>$B$76</formula>
    </cfRule>
  </conditionalFormatting>
  <conditionalFormatting sqref="B78:N78">
    <cfRule type="cellIs" dxfId="11" priority="8" stopIfTrue="1" operator="greaterThanOrEqual">
      <formula>0.5</formula>
    </cfRule>
  </conditionalFormatting>
  <conditionalFormatting sqref="B80:N80">
    <cfRule type="cellIs" dxfId="10" priority="3" operator="greaterThan">
      <formula>220</formula>
    </cfRule>
    <cfRule type="cellIs" dxfId="9" priority="4" operator="between">
      <formula>180</formula>
      <formula>220</formula>
    </cfRule>
    <cfRule type="cellIs" dxfId="8" priority="5" operator="between">
      <formula>100</formula>
      <formula>180</formula>
    </cfRule>
    <cfRule type="cellIs" dxfId="7" priority="6" operator="between">
      <formula>80</formula>
      <formula>100</formula>
    </cfRule>
    <cfRule type="cellIs" dxfId="6" priority="7" operator="lessThan">
      <formula>80</formula>
    </cfRule>
  </conditionalFormatting>
  <conditionalFormatting sqref="B77:O77">
    <cfRule type="cellIs" dxfId="5" priority="49" stopIfTrue="1" operator="greaterThanOrEqual">
      <formula>0.5</formula>
    </cfRule>
  </conditionalFormatting>
  <conditionalFormatting sqref="C75:N75">
    <cfRule type="expression" dxfId="4" priority="19">
      <formula>OR(IF(C$58&gt;0,C$75&lt;=10,C$75&gt;30),C$74="sofort")</formula>
    </cfRule>
    <cfRule type="expression" dxfId="3" priority="20" stopIfTrue="1">
      <formula>C$58&lt;0</formula>
    </cfRule>
  </conditionalFormatting>
  <conditionalFormatting sqref="C79:N79">
    <cfRule type="cellIs" dxfId="2" priority="9" stopIfTrue="1" operator="greaterThanOrEqual">
      <formula>0.5</formula>
    </cfRule>
  </conditionalFormatting>
  <conditionalFormatting sqref="O78:O80 B79 B81:H81">
    <cfRule type="cellIs" dxfId="1" priority="48" stopIfTrue="1" operator="greaterThanOrEqual">
      <formula>0.5</formula>
    </cfRule>
  </conditionalFormatting>
  <pageMargins left="0.39370078740157483" right="0.39370078740157483" top="0.98425196850393704" bottom="0.98425196850393704" header="0.51181102362204722" footer="0.51181102362204722"/>
  <pageSetup paperSize="9" scale="43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16F5-7F18-4CE1-8099-1FD3E971624A}">
  <dimension ref="A1:H75"/>
  <sheetViews>
    <sheetView workbookViewId="0">
      <selection activeCell="B12" sqref="B12"/>
    </sheetView>
  </sheetViews>
  <sheetFormatPr baseColWidth="10" defaultRowHeight="12.75" x14ac:dyDescent="0.2"/>
  <sheetData>
    <row r="1" spans="1:5" x14ac:dyDescent="0.2">
      <c r="A1" s="52" t="s">
        <v>98</v>
      </c>
      <c r="E1" s="52" t="s">
        <v>94</v>
      </c>
    </row>
    <row r="3" spans="1:5" x14ac:dyDescent="0.2">
      <c r="A3" s="52" t="s">
        <v>97</v>
      </c>
      <c r="B3">
        <f>'Haustechnikvarianten berechnen'!G34</f>
        <v>3</v>
      </c>
      <c r="E3">
        <f t="shared" ref="E3:E8" si="0">B3</f>
        <v>3</v>
      </c>
    </row>
    <row r="4" spans="1:5" x14ac:dyDescent="0.2">
      <c r="A4" s="52" t="s">
        <v>106</v>
      </c>
      <c r="B4" s="104">
        <f>'Haustechnikvarianten berechnen'!G35/1.1</f>
        <v>1</v>
      </c>
      <c r="E4" s="104">
        <f t="shared" si="0"/>
        <v>1</v>
      </c>
    </row>
    <row r="5" spans="1:5" x14ac:dyDescent="0.2">
      <c r="A5" s="52" t="s">
        <v>109</v>
      </c>
      <c r="B5" s="104">
        <f>'Haustechnikvarianten berechnen'!$B$20</f>
        <v>1000</v>
      </c>
      <c r="E5" s="104">
        <f t="shared" si="0"/>
        <v>1000</v>
      </c>
    </row>
    <row r="6" spans="1:5" x14ac:dyDescent="0.2">
      <c r="A6" s="52" t="s">
        <v>111</v>
      </c>
      <c r="B6" s="104">
        <f>'Haustechnikvarianten berechnen'!B11</f>
        <v>4600</v>
      </c>
      <c r="E6" s="104">
        <f t="shared" si="0"/>
        <v>4600</v>
      </c>
    </row>
    <row r="7" spans="1:5" x14ac:dyDescent="0.2">
      <c r="A7" s="52" t="s">
        <v>152</v>
      </c>
      <c r="B7" s="104">
        <f>'Haustechnikvarianten berechnen'!B12</f>
        <v>3000</v>
      </c>
      <c r="E7" s="104">
        <f t="shared" si="0"/>
        <v>3000</v>
      </c>
    </row>
    <row r="8" spans="1:5" x14ac:dyDescent="0.2">
      <c r="A8" s="52" t="s">
        <v>153</v>
      </c>
      <c r="B8" s="104">
        <f>B6-B7</f>
        <v>1600</v>
      </c>
      <c r="E8" s="104">
        <f t="shared" si="0"/>
        <v>1600</v>
      </c>
    </row>
    <row r="9" spans="1:5" x14ac:dyDescent="0.2">
      <c r="A9" s="52" t="s">
        <v>99</v>
      </c>
      <c r="B9">
        <f>10*ROUND((10*B3+340)/10,0)</f>
        <v>370</v>
      </c>
      <c r="E9">
        <f>10*ROUND(1.3*(10*E3+340)/10,0)</f>
        <v>480</v>
      </c>
    </row>
    <row r="10" spans="1:5" x14ac:dyDescent="0.2">
      <c r="A10" s="52" t="s">
        <v>100</v>
      </c>
      <c r="B10">
        <f>10*ROUND(B3*B4*B5/1000*B9/10,0)</f>
        <v>1110</v>
      </c>
      <c r="E10">
        <f>10*ROUND(E3*E4*E5/1000*E9/10,0)</f>
        <v>1440</v>
      </c>
    </row>
    <row r="11" spans="1:5" x14ac:dyDescent="0.2">
      <c r="A11" s="52" t="s">
        <v>154</v>
      </c>
      <c r="B11">
        <f>IF(B6=0,0,10*ROUND(B8*(1+0.77*B7/B6)/10,0))</f>
        <v>2400</v>
      </c>
      <c r="E11">
        <f>B11</f>
        <v>2400</v>
      </c>
    </row>
    <row r="12" spans="1:5" x14ac:dyDescent="0.2">
      <c r="A12" s="52" t="s">
        <v>110</v>
      </c>
      <c r="B12">
        <f>IF(B10&gt;0.7*B11,B11*0.7,B10)</f>
        <v>1110</v>
      </c>
      <c r="E12">
        <f>IF(E10&gt;0.7*E11,E11*0.7,E10)</f>
        <v>1440</v>
      </c>
    </row>
    <row r="13" spans="1:5" x14ac:dyDescent="0.2">
      <c r="A13" s="52" t="s">
        <v>155</v>
      </c>
      <c r="B13">
        <f>10*ROUND((B6-B11+B12)/10,0)</f>
        <v>3310</v>
      </c>
      <c r="E13">
        <f>10*ROUND((E6-E11+E12)/10,0)</f>
        <v>3640</v>
      </c>
    </row>
    <row r="14" spans="1:5" x14ac:dyDescent="0.2">
      <c r="A14" s="52"/>
    </row>
    <row r="17" spans="1:5" x14ac:dyDescent="0.2">
      <c r="A17" s="52" t="s">
        <v>112</v>
      </c>
      <c r="E17" s="52" t="s">
        <v>94</v>
      </c>
    </row>
    <row r="19" spans="1:5" x14ac:dyDescent="0.2">
      <c r="A19" s="52" t="s">
        <v>97</v>
      </c>
      <c r="C19">
        <f>'Haustechnikvarianten berechnen'!K34</f>
        <v>12</v>
      </c>
      <c r="E19">
        <f>C19*3/4</f>
        <v>9</v>
      </c>
    </row>
    <row r="20" spans="1:5" x14ac:dyDescent="0.2">
      <c r="A20" s="52" t="s">
        <v>106</v>
      </c>
      <c r="C20" s="4">
        <f>'Haustechnikvarianten berechnen'!K35/1.1</f>
        <v>1</v>
      </c>
      <c r="E20" s="4">
        <f>C20</f>
        <v>1</v>
      </c>
    </row>
    <row r="21" spans="1:5" x14ac:dyDescent="0.2">
      <c r="A21" s="52" t="s">
        <v>109</v>
      </c>
      <c r="C21" s="104">
        <f>B5</f>
        <v>1000</v>
      </c>
      <c r="E21" s="104">
        <f>C21</f>
        <v>1000</v>
      </c>
    </row>
    <row r="22" spans="1:5" x14ac:dyDescent="0.2">
      <c r="A22" s="52" t="s">
        <v>111</v>
      </c>
      <c r="C22" s="104">
        <f>B6</f>
        <v>4600</v>
      </c>
      <c r="E22" s="104">
        <f>C22</f>
        <v>4600</v>
      </c>
    </row>
    <row r="23" spans="1:5" x14ac:dyDescent="0.2">
      <c r="A23" s="52" t="s">
        <v>152</v>
      </c>
      <c r="C23" s="104">
        <f>B7</f>
        <v>3000</v>
      </c>
      <c r="E23" s="104">
        <f>B7</f>
        <v>3000</v>
      </c>
    </row>
    <row r="24" spans="1:5" x14ac:dyDescent="0.2">
      <c r="A24" s="52" t="s">
        <v>153</v>
      </c>
      <c r="B24" s="104"/>
      <c r="C24" s="104">
        <f>B8</f>
        <v>1600</v>
      </c>
      <c r="E24" s="104">
        <f>B8</f>
        <v>1600</v>
      </c>
    </row>
    <row r="25" spans="1:5" x14ac:dyDescent="0.2">
      <c r="A25" s="52" t="s">
        <v>116</v>
      </c>
      <c r="C25" s="104">
        <f>'Haustechnikvarianten berechnen'!B59</f>
        <v>17520</v>
      </c>
      <c r="E25" s="104">
        <f>C25</f>
        <v>17520</v>
      </c>
    </row>
    <row r="26" spans="1:5" x14ac:dyDescent="0.2">
      <c r="A26" s="52" t="s">
        <v>113</v>
      </c>
      <c r="C26">
        <f>'Haustechnikvarianten berechnen'!K36</f>
        <v>35</v>
      </c>
      <c r="E26">
        <f>C26</f>
        <v>35</v>
      </c>
    </row>
    <row r="27" spans="1:5" x14ac:dyDescent="0.2">
      <c r="A27" s="52" t="s">
        <v>99</v>
      </c>
      <c r="C27">
        <f>IF(C19&lt;=12,360,10*ROUND((400 -90*C19/27)/10,0))</f>
        <v>360</v>
      </c>
      <c r="E27">
        <f>IF(E19&lt;=12,360,10*ROUND((400 -90*E19/27)/10,0))</f>
        <v>360</v>
      </c>
    </row>
    <row r="28" spans="1:5" x14ac:dyDescent="0.2">
      <c r="A28" s="52" t="s">
        <v>130</v>
      </c>
      <c r="C28">
        <f>IF(C22&gt;=3200,IF(C19&lt;20,10*ROUND((C27-30+0.01875*C22)/10,0),C27),C27)</f>
        <v>420</v>
      </c>
      <c r="E28">
        <f>IF(E22&gt;=3200,IF(E19&lt;20,10*ROUND((E27-30+0.01875*E22)/10,0),E27),E27)</f>
        <v>420</v>
      </c>
    </row>
    <row r="29" spans="1:5" x14ac:dyDescent="0.2">
      <c r="A29" s="52" t="s">
        <v>131</v>
      </c>
      <c r="C29">
        <f>IF(C25&lt;5000,10*ROUND((C27-26.666+2.222*C19)/10,0),C28)</f>
        <v>420</v>
      </c>
      <c r="E29">
        <f>IF(E25&lt;5000,10*ROUND((E27-26.666+2.222*E19)/10,0),E28)</f>
        <v>420</v>
      </c>
    </row>
    <row r="30" spans="1:5" x14ac:dyDescent="0.2">
      <c r="A30" s="52" t="s">
        <v>128</v>
      </c>
      <c r="C30">
        <f>10*ROUND((-1.428*C26+C29+50)/10,0)</f>
        <v>420</v>
      </c>
      <c r="E30">
        <f>10*ROUND((-1.428*E26+E29+50)/10,0)</f>
        <v>420</v>
      </c>
    </row>
    <row r="31" spans="1:5" x14ac:dyDescent="0.2">
      <c r="A31" s="52" t="s">
        <v>100</v>
      </c>
      <c r="C31">
        <f>10*ROUND(C19*C20*C21/1000*C30/10,0)</f>
        <v>5040</v>
      </c>
      <c r="E31">
        <f>10*ROUND(1.2*E19*E20*E21/1000*E30/10,0)</f>
        <v>4540</v>
      </c>
    </row>
    <row r="32" spans="1:5" x14ac:dyDescent="0.2">
      <c r="A32" s="52" t="s">
        <v>156</v>
      </c>
      <c r="C32">
        <f>B11</f>
        <v>2400</v>
      </c>
      <c r="E32">
        <f>B11</f>
        <v>2400</v>
      </c>
    </row>
    <row r="33" spans="1:5" x14ac:dyDescent="0.2">
      <c r="A33" s="52" t="s">
        <v>110</v>
      </c>
      <c r="C33">
        <f>IF(C31&gt;0.9*(C32+C25),0.9*(C32+C25),C31)</f>
        <v>5040</v>
      </c>
      <c r="E33">
        <f>IF(E31&gt;0.9*(E32+E25),0.9*(E32+E25),E31)</f>
        <v>4540</v>
      </c>
    </row>
    <row r="34" spans="1:5" x14ac:dyDescent="0.2">
      <c r="A34" s="52" t="s">
        <v>155</v>
      </c>
      <c r="C34">
        <f>10*ROUND((C22-C32+C33)/10,0)</f>
        <v>7240</v>
      </c>
      <c r="E34">
        <f>10*ROUND((E22-E32+E33)/10,0)</f>
        <v>6740</v>
      </c>
    </row>
    <row r="35" spans="1:5" x14ac:dyDescent="0.2">
      <c r="A35" s="52"/>
    </row>
    <row r="37" spans="1:5" x14ac:dyDescent="0.2">
      <c r="A37" s="52" t="s">
        <v>96</v>
      </c>
    </row>
    <row r="39" spans="1:5" x14ac:dyDescent="0.2">
      <c r="A39" s="52" t="s">
        <v>97</v>
      </c>
      <c r="C39">
        <f>C19</f>
        <v>12</v>
      </c>
    </row>
    <row r="40" spans="1:5" x14ac:dyDescent="0.2">
      <c r="A40" s="52" t="s">
        <v>106</v>
      </c>
      <c r="C40" s="4">
        <f>C20</f>
        <v>1</v>
      </c>
    </row>
    <row r="41" spans="1:5" x14ac:dyDescent="0.2">
      <c r="A41" s="52" t="s">
        <v>109</v>
      </c>
      <c r="C41" s="104">
        <f>C21</f>
        <v>1000</v>
      </c>
    </row>
    <row r="42" spans="1:5" x14ac:dyDescent="0.2">
      <c r="A42" s="52" t="s">
        <v>116</v>
      </c>
      <c r="C42" s="104">
        <f>C25</f>
        <v>17520</v>
      </c>
    </row>
    <row r="43" spans="1:5" x14ac:dyDescent="0.2">
      <c r="A43" s="52" t="s">
        <v>99</v>
      </c>
      <c r="C43">
        <f>IF(C42&gt;=18100,440,IF(C42&gt;=11000,10*ROUND((440-80*(11300/C42)^2)/10,0),370))</f>
        <v>410</v>
      </c>
    </row>
    <row r="44" spans="1:5" x14ac:dyDescent="0.2">
      <c r="A44" s="52" t="s">
        <v>100</v>
      </c>
      <c r="C44">
        <f>10*ROUND(C39*C40*C41/1000*C43/10,0)</f>
        <v>4920</v>
      </c>
    </row>
    <row r="45" spans="1:5" x14ac:dyDescent="0.2">
      <c r="A45" s="52" t="s">
        <v>110</v>
      </c>
      <c r="C45">
        <f>IF(C44&gt;C42,C42,C44)</f>
        <v>4920</v>
      </c>
    </row>
    <row r="46" spans="1:5" x14ac:dyDescent="0.2">
      <c r="A46" s="52" t="s">
        <v>155</v>
      </c>
      <c r="C46">
        <f>C45</f>
        <v>4920</v>
      </c>
    </row>
    <row r="48" spans="1:5" x14ac:dyDescent="0.2">
      <c r="A48" t="s">
        <v>114</v>
      </c>
    </row>
    <row r="49" spans="1:8" x14ac:dyDescent="0.2">
      <c r="A49" t="s">
        <v>115</v>
      </c>
      <c r="C49">
        <v>1600</v>
      </c>
      <c r="D49">
        <v>3200</v>
      </c>
      <c r="E49">
        <v>0</v>
      </c>
      <c r="H49" s="118">
        <v>3200</v>
      </c>
    </row>
    <row r="50" spans="1:8" x14ac:dyDescent="0.2">
      <c r="A50" t="s">
        <v>116</v>
      </c>
      <c r="C50">
        <v>18100</v>
      </c>
      <c r="D50">
        <v>11300</v>
      </c>
      <c r="E50">
        <v>1800</v>
      </c>
      <c r="F50">
        <v>0</v>
      </c>
      <c r="H50" s="118">
        <v>11000</v>
      </c>
    </row>
    <row r="51" spans="1:8" x14ac:dyDescent="0.2">
      <c r="A51" t="s">
        <v>117</v>
      </c>
      <c r="C51">
        <v>35</v>
      </c>
      <c r="D51">
        <v>70</v>
      </c>
      <c r="H51" s="118">
        <v>35</v>
      </c>
    </row>
    <row r="52" spans="1:8" x14ac:dyDescent="0.2">
      <c r="A52" t="s">
        <v>118</v>
      </c>
      <c r="C52" t="s">
        <v>119</v>
      </c>
      <c r="D52" t="s">
        <v>120</v>
      </c>
      <c r="E52" t="s">
        <v>121</v>
      </c>
    </row>
    <row r="53" spans="1:8" x14ac:dyDescent="0.2">
      <c r="A53" t="s">
        <v>97</v>
      </c>
      <c r="C53">
        <v>3</v>
      </c>
      <c r="D53">
        <v>6</v>
      </c>
      <c r="E53">
        <v>12</v>
      </c>
      <c r="F53">
        <v>21</v>
      </c>
      <c r="G53">
        <v>39</v>
      </c>
      <c r="H53" s="118">
        <v>3</v>
      </c>
    </row>
    <row r="55" spans="1:8" x14ac:dyDescent="0.2">
      <c r="A55" t="s">
        <v>122</v>
      </c>
    </row>
    <row r="56" spans="1:8" x14ac:dyDescent="0.2">
      <c r="A56" t="s">
        <v>123</v>
      </c>
      <c r="C56" t="s">
        <v>124</v>
      </c>
      <c r="E56">
        <f>IF(H50&gt;=18100,440,IF(H50&gt;=11000,10*ROUND((440-80*(11300/H50)^2)/10,0),370))</f>
        <v>360</v>
      </c>
    </row>
    <row r="57" spans="1:8" x14ac:dyDescent="0.2">
      <c r="C57" t="s">
        <v>125</v>
      </c>
      <c r="E57">
        <f>IF(H53&lt;=12,360,10*ROUND((400 -90*H53/27)/10,0))</f>
        <v>360</v>
      </c>
    </row>
    <row r="58" spans="1:8" x14ac:dyDescent="0.2">
      <c r="C58" t="s">
        <v>126</v>
      </c>
      <c r="E58">
        <f>IF(H49&gt;=3200,IF(H53&lt;20,10*ROUND((E57-30+0.01875*H49)/10,0),E57),E57)</f>
        <v>390</v>
      </c>
    </row>
    <row r="59" spans="1:8" x14ac:dyDescent="0.2">
      <c r="C59" t="s">
        <v>127</v>
      </c>
      <c r="E59">
        <f>IF(H50&lt;5000,10*ROUND((E57-26.666+2.222*H53)/10,0),E58)</f>
        <v>390</v>
      </c>
    </row>
    <row r="60" spans="1:8" x14ac:dyDescent="0.2">
      <c r="C60" t="s">
        <v>128</v>
      </c>
      <c r="E60">
        <f>10*ROUND((-1.428*H51+E59+50)/10,0)</f>
        <v>390</v>
      </c>
    </row>
    <row r="61" spans="1:8" x14ac:dyDescent="0.2">
      <c r="C61" t="s">
        <v>120</v>
      </c>
      <c r="E61">
        <f>10*ROUND(1.19*E60/10,0)</f>
        <v>460</v>
      </c>
    </row>
    <row r="62" spans="1:8" x14ac:dyDescent="0.2">
      <c r="C62" t="s">
        <v>129</v>
      </c>
      <c r="E62">
        <f>10*ROUND((10*H53+340)/10,0)</f>
        <v>370</v>
      </c>
    </row>
    <row r="64" spans="1:8" x14ac:dyDescent="0.2">
      <c r="A64" t="s">
        <v>134</v>
      </c>
      <c r="D64" t="s">
        <v>136</v>
      </c>
    </row>
    <row r="65" spans="1:5" x14ac:dyDescent="0.2">
      <c r="A65" t="s">
        <v>158</v>
      </c>
      <c r="B65">
        <f>'Haustechnikvarianten berechnen'!C37</f>
        <v>0.79</v>
      </c>
      <c r="D65" t="s">
        <v>158</v>
      </c>
      <c r="E65">
        <f>'Haustechnikvarianten berechnen'!D37</f>
        <v>0.84</v>
      </c>
    </row>
    <row r="66" spans="1:5" x14ac:dyDescent="0.2">
      <c r="A66" t="s">
        <v>116</v>
      </c>
      <c r="B66">
        <f>'Haustechnikvarianten berechnen'!C59</f>
        <v>17520</v>
      </c>
      <c r="D66" t="s">
        <v>116</v>
      </c>
      <c r="E66">
        <f>'Haustechnikvarianten berechnen'!F59</f>
        <v>17520</v>
      </c>
    </row>
    <row r="67" spans="1:5" x14ac:dyDescent="0.2">
      <c r="A67" s="52" t="s">
        <v>157</v>
      </c>
      <c r="B67">
        <f>B66+B11</f>
        <v>19920</v>
      </c>
      <c r="D67" s="52" t="s">
        <v>157</v>
      </c>
      <c r="E67">
        <f>E66+B11</f>
        <v>19920</v>
      </c>
    </row>
    <row r="68" spans="1:5" x14ac:dyDescent="0.2">
      <c r="A68" s="52" t="s">
        <v>169</v>
      </c>
      <c r="B68">
        <f>100*ROUND(IF(B67&gt;33200,14400,IF(B67&lt;5500,B67,(B67/3+10000/3)))/100,0)</f>
        <v>10000</v>
      </c>
      <c r="D68" s="52" t="s">
        <v>169</v>
      </c>
      <c r="E68">
        <f>100*ROUND(IF(E67&gt;33200,14400,IF(E67&lt;5500,E67,(E67/3+10000/3)))/100,0)</f>
        <v>10000</v>
      </c>
    </row>
    <row r="69" spans="1:5" x14ac:dyDescent="0.2">
      <c r="A69" t="s">
        <v>159</v>
      </c>
      <c r="B69">
        <f>10*ROUND(B68/B65/10,0)</f>
        <v>12660</v>
      </c>
      <c r="D69" t="s">
        <v>159</v>
      </c>
      <c r="E69">
        <f>10*ROUND(E68/E65/10,0)</f>
        <v>11900</v>
      </c>
    </row>
    <row r="71" spans="1:5" x14ac:dyDescent="0.2">
      <c r="A71" t="s">
        <v>135</v>
      </c>
      <c r="D71" t="s">
        <v>137</v>
      </c>
    </row>
    <row r="72" spans="1:5" x14ac:dyDescent="0.2">
      <c r="A72" t="s">
        <v>158</v>
      </c>
      <c r="B72">
        <f>'Haustechnikvarianten berechnen'!E37</f>
        <v>0.81</v>
      </c>
      <c r="D72" t="s">
        <v>158</v>
      </c>
      <c r="E72">
        <f>'Haustechnikvarianten berechnen'!F37</f>
        <v>0.84</v>
      </c>
    </row>
    <row r="73" spans="1:5" x14ac:dyDescent="0.2">
      <c r="A73" t="s">
        <v>116</v>
      </c>
      <c r="B73">
        <f>B66</f>
        <v>17520</v>
      </c>
      <c r="D73" t="s">
        <v>116</v>
      </c>
      <c r="E73">
        <f>E66</f>
        <v>17520</v>
      </c>
    </row>
    <row r="74" spans="1:5" x14ac:dyDescent="0.2">
      <c r="A74" t="s">
        <v>157</v>
      </c>
      <c r="B74">
        <f>100*ROUND((B73+B11)/100,0)</f>
        <v>19900</v>
      </c>
      <c r="D74" t="s">
        <v>157</v>
      </c>
      <c r="E74">
        <f>100*ROUND((E73+E11)/100,0)</f>
        <v>19900</v>
      </c>
    </row>
    <row r="75" spans="1:5" x14ac:dyDescent="0.2">
      <c r="A75" t="s">
        <v>159</v>
      </c>
      <c r="B75">
        <f>10*ROUND(B74/B72/10,0)</f>
        <v>24570</v>
      </c>
      <c r="D75" t="s">
        <v>159</v>
      </c>
      <c r="E75">
        <f>10*ROUND(E74/E72/10,0)</f>
        <v>23690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Haustechnikvarianten gesamt</vt:lpstr>
      <vt:lpstr>Haustechnikvarianten berechnen</vt:lpstr>
      <vt:lpstr>Berechnung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Johannes Spruth</cp:lastModifiedBy>
  <cp:lastPrinted>2024-01-03T00:58:43Z</cp:lastPrinted>
  <dcterms:created xsi:type="dcterms:W3CDTF">2017-07-13T22:33:43Z</dcterms:created>
  <dcterms:modified xsi:type="dcterms:W3CDTF">2024-02-18T15:27:24Z</dcterms:modified>
</cp:coreProperties>
</file>